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15" windowWidth="18780" windowHeight="9600"/>
  </bookViews>
  <sheets>
    <sheet name="Calculs" sheetId="1" r:id="rId1"/>
    <sheet name="Calculs manuels" sheetId="2" r:id="rId2"/>
  </sheets>
  <definedNames>
    <definedName name="C_">Calculs!$S$35:$S$58</definedName>
    <definedName name="CA">Calculs!$N$35:$N$58</definedName>
    <definedName name="CAmax">Calculs!$X$7</definedName>
    <definedName name="Dm">Calculs!$V$12</definedName>
    <definedName name="Dt">Calculs!$K$7</definedName>
    <definedName name="e">Calculs!$M$7</definedName>
    <definedName name="F">Calculs!$R$35:$R$58</definedName>
    <definedName name="k">Calculs!$I$35:$I$58</definedName>
    <definedName name="Le">Calculs!$O$35:$O$58</definedName>
    <definedName name="Lm">Calculs!$W$12</definedName>
    <definedName name="M">Calculs!$J$7</definedName>
    <definedName name="n">Calculs!$L$7</definedName>
    <definedName name="Nt">Calculs!$P$35:$P$58</definedName>
    <definedName name="P">Calculs!$T$12</definedName>
    <definedName name="Pu">Calculs!$T$35:$T$58</definedName>
    <definedName name="Re">Calculs!$Q$35:$Q$58</definedName>
    <definedName name="t">Calculs!$X$12</definedName>
    <definedName name="Ta">Calculs!$C$7</definedName>
    <definedName name="Tb">Calculs!$D$7</definedName>
    <definedName name="Tg">Calculs!$E$7</definedName>
    <definedName name="Va">Calculs!$C$8</definedName>
    <definedName name="Vb">Calculs!$D$8</definedName>
    <definedName name="Vg">Calculs!$E$8</definedName>
    <definedName name="Xa">Calculs!$E$35:$E$58</definedName>
    <definedName name="Xao">Calculs!$V$7</definedName>
    <definedName name="Xc">Calculs!$H$7</definedName>
    <definedName name="Xf">Calculs!$J$35:$J$58</definedName>
    <definedName name="Xg">Calculs!$G$35:$G$58</definedName>
    <definedName name="Xro">Calculs!$L$35:$L$58</definedName>
    <definedName name="Xs">Calculs!$G$7</definedName>
    <definedName name="Ya">Calculs!$F$35:$F$58</definedName>
    <definedName name="Yao">Calculs!$W$7</definedName>
    <definedName name="Yc">Calculs!$H$8</definedName>
    <definedName name="Yf">Calculs!$K$35:$K$58</definedName>
    <definedName name="Yg">Calculs!$H$35:$H$58</definedName>
    <definedName name="Yro">Calculs!$M$35:$M$58</definedName>
    <definedName name="Ys">Calculs!$G$8</definedName>
    <definedName name="θ">Calculs!$D$35:$D$58</definedName>
    <definedName name="θdeg">Calculs!$C$35:$C$58</definedName>
    <definedName name="θmin">Calculs!$T$7</definedName>
    <definedName name="θminDeg">Calculs!$U$7</definedName>
    <definedName name="ω">Calculs!$U$12</definedName>
  </definedNames>
  <calcPr calcId="145621"/>
</workbook>
</file>

<file path=xl/calcChain.xml><?xml version="1.0" encoding="utf-8"?>
<calcChain xmlns="http://schemas.openxmlformats.org/spreadsheetml/2006/main">
  <c r="U12" i="1" l="1"/>
  <c r="T7" i="1" l="1"/>
  <c r="D58" i="1"/>
  <c r="G58" i="1" s="1"/>
  <c r="T12" i="1"/>
  <c r="G7" i="1"/>
  <c r="U7" i="1" l="1"/>
  <c r="C35" i="1" s="1"/>
  <c r="C36" i="1" s="1"/>
  <c r="C37" i="1" s="1"/>
  <c r="C38" i="1" s="1"/>
  <c r="V7" i="1"/>
  <c r="W7" i="1"/>
  <c r="F58" i="1"/>
  <c r="H58" i="1"/>
  <c r="E58" i="1"/>
  <c r="N58" i="1" s="1"/>
  <c r="D35" i="1"/>
  <c r="F35" i="1" s="1"/>
  <c r="C39" i="1" l="1"/>
  <c r="D38" i="1"/>
  <c r="X7" i="1"/>
  <c r="O58" i="1" s="1"/>
  <c r="P58" i="1" s="1"/>
  <c r="Q58" i="1" s="1"/>
  <c r="D36" i="1"/>
  <c r="G36" i="1" s="1"/>
  <c r="D37" i="1"/>
  <c r="I58" i="1"/>
  <c r="J58" i="1" s="1"/>
  <c r="E36" i="1"/>
  <c r="F36" i="1"/>
  <c r="G38" i="1"/>
  <c r="E38" i="1"/>
  <c r="H38" i="1"/>
  <c r="F38" i="1"/>
  <c r="I38" i="1" s="1"/>
  <c r="G37" i="1"/>
  <c r="E37" i="1"/>
  <c r="H37" i="1"/>
  <c r="F37" i="1"/>
  <c r="I37" i="1" s="1"/>
  <c r="H35" i="1"/>
  <c r="G35" i="1"/>
  <c r="E35" i="1"/>
  <c r="N35" i="1" s="1"/>
  <c r="O35" i="1" s="1"/>
  <c r="P35" i="1" l="1"/>
  <c r="I36" i="1"/>
  <c r="C40" i="1"/>
  <c r="D39" i="1"/>
  <c r="H36" i="1"/>
  <c r="L58" i="1"/>
  <c r="N38" i="1"/>
  <c r="O38" i="1" s="1"/>
  <c r="P38" i="1" s="1"/>
  <c r="Q38" i="1" s="1"/>
  <c r="N36" i="1"/>
  <c r="O36" i="1" s="1"/>
  <c r="P36" i="1" s="1"/>
  <c r="Q36" i="1" s="1"/>
  <c r="N37" i="1"/>
  <c r="O37" i="1" s="1"/>
  <c r="P37" i="1" s="1"/>
  <c r="Q37" i="1" s="1"/>
  <c r="J37" i="1"/>
  <c r="J38" i="1"/>
  <c r="J36" i="1"/>
  <c r="K58" i="1"/>
  <c r="M58" i="1" s="1"/>
  <c r="K37" i="1"/>
  <c r="M37" i="1" s="1"/>
  <c r="K38" i="1"/>
  <c r="M38" i="1" s="1"/>
  <c r="K36" i="1"/>
  <c r="M36" i="1" s="1"/>
  <c r="I35" i="1"/>
  <c r="Q35" i="1" l="1"/>
  <c r="C41" i="1"/>
  <c r="D40" i="1"/>
  <c r="E39" i="1"/>
  <c r="F39" i="1"/>
  <c r="G39" i="1"/>
  <c r="H39" i="1"/>
  <c r="L36" i="1"/>
  <c r="R36" i="1"/>
  <c r="S36" i="1" s="1"/>
  <c r="T36" i="1" s="1"/>
  <c r="L37" i="1"/>
  <c r="R37" i="1"/>
  <c r="S37" i="1" s="1"/>
  <c r="T37" i="1" s="1"/>
  <c r="L38" i="1"/>
  <c r="R38" i="1"/>
  <c r="S38" i="1" s="1"/>
  <c r="T38" i="1" s="1"/>
  <c r="R58" i="1"/>
  <c r="S58" i="1" s="1"/>
  <c r="T58" i="1" s="1"/>
  <c r="J35" i="1"/>
  <c r="I39" i="1" l="1"/>
  <c r="J39" i="1" s="1"/>
  <c r="L39" i="1" s="1"/>
  <c r="E40" i="1"/>
  <c r="F40" i="1"/>
  <c r="G40" i="1"/>
  <c r="H40" i="1"/>
  <c r="N39" i="1"/>
  <c r="O39" i="1" s="1"/>
  <c r="C42" i="1"/>
  <c r="D41" i="1"/>
  <c r="K35" i="1"/>
  <c r="M35" i="1" s="1"/>
  <c r="L35" i="1"/>
  <c r="P39" i="1" l="1"/>
  <c r="I40" i="1"/>
  <c r="J40" i="1" s="1"/>
  <c r="K39" i="1"/>
  <c r="N40" i="1"/>
  <c r="O40" i="1" s="1"/>
  <c r="P40" i="1" s="1"/>
  <c r="Q40" i="1" s="1"/>
  <c r="G41" i="1"/>
  <c r="F41" i="1"/>
  <c r="I41" i="1" s="1"/>
  <c r="E41" i="1"/>
  <c r="H41" i="1"/>
  <c r="C43" i="1"/>
  <c r="D42" i="1"/>
  <c r="M39" i="1"/>
  <c r="R39" i="1"/>
  <c r="R35" i="1"/>
  <c r="S35" i="1" s="1"/>
  <c r="T35" i="1" s="1"/>
  <c r="L40" i="1" l="1"/>
  <c r="K40" i="1"/>
  <c r="M40" i="1" s="1"/>
  <c r="Q39" i="1"/>
  <c r="S39" i="1" s="1"/>
  <c r="T39" i="1" s="1"/>
  <c r="R40" i="1"/>
  <c r="S40" i="1" s="1"/>
  <c r="T40" i="1" s="1"/>
  <c r="E42" i="1"/>
  <c r="F42" i="1"/>
  <c r="G42" i="1"/>
  <c r="H42" i="1"/>
  <c r="C44" i="1"/>
  <c r="D43" i="1"/>
  <c r="N41" i="1"/>
  <c r="O41" i="1" s="1"/>
  <c r="P41" i="1" s="1"/>
  <c r="Q41" i="1" s="1"/>
  <c r="J41" i="1"/>
  <c r="N42" i="1" l="1"/>
  <c r="O42" i="1" s="1"/>
  <c r="P42" i="1" s="1"/>
  <c r="Q42" i="1" s="1"/>
  <c r="I42" i="1"/>
  <c r="J42" i="1" s="1"/>
  <c r="L41" i="1"/>
  <c r="K41" i="1"/>
  <c r="M41" i="1" s="1"/>
  <c r="E43" i="1"/>
  <c r="F43" i="1"/>
  <c r="G43" i="1"/>
  <c r="H43" i="1"/>
  <c r="C45" i="1"/>
  <c r="D44" i="1"/>
  <c r="N43" i="1" l="1"/>
  <c r="O43" i="1" s="1"/>
  <c r="P43" i="1" s="1"/>
  <c r="Q43" i="1" s="1"/>
  <c r="I43" i="1"/>
  <c r="J43" i="1" s="1"/>
  <c r="L42" i="1"/>
  <c r="K42" i="1"/>
  <c r="M42" i="1" s="1"/>
  <c r="G44" i="1"/>
  <c r="F44" i="1"/>
  <c r="E44" i="1"/>
  <c r="N44" i="1" s="1"/>
  <c r="O44" i="1" s="1"/>
  <c r="P44" i="1" s="1"/>
  <c r="Q44" i="1" s="1"/>
  <c r="H44" i="1"/>
  <c r="C46" i="1"/>
  <c r="D45" i="1"/>
  <c r="R42" i="1"/>
  <c r="S42" i="1" s="1"/>
  <c r="T42" i="1" s="1"/>
  <c r="R41" i="1"/>
  <c r="S41" i="1" s="1"/>
  <c r="T41" i="1" s="1"/>
  <c r="L43" i="1" l="1"/>
  <c r="K43" i="1"/>
  <c r="M43" i="1" s="1"/>
  <c r="E45" i="1"/>
  <c r="F45" i="1"/>
  <c r="I45" i="1" s="1"/>
  <c r="G45" i="1"/>
  <c r="H45" i="1"/>
  <c r="C47" i="1"/>
  <c r="D46" i="1"/>
  <c r="I44" i="1"/>
  <c r="J44" i="1"/>
  <c r="R43" i="1"/>
  <c r="S43" i="1" s="1"/>
  <c r="T43" i="1" s="1"/>
  <c r="J45" i="1" l="1"/>
  <c r="E46" i="1"/>
  <c r="F46" i="1"/>
  <c r="G46" i="1"/>
  <c r="H46" i="1"/>
  <c r="K45" i="1"/>
  <c r="M45" i="1" s="1"/>
  <c r="L44" i="1"/>
  <c r="K44" i="1"/>
  <c r="M44" i="1" s="1"/>
  <c r="C48" i="1"/>
  <c r="D47" i="1"/>
  <c r="L45" i="1"/>
  <c r="R45" i="1"/>
  <c r="N45" i="1"/>
  <c r="O45" i="1" s="1"/>
  <c r="P45" i="1" s="1"/>
  <c r="Q45" i="1" s="1"/>
  <c r="S45" i="1" l="1"/>
  <c r="T45" i="1" s="1"/>
  <c r="I46" i="1"/>
  <c r="J46" i="1" s="1"/>
  <c r="E47" i="1"/>
  <c r="F47" i="1"/>
  <c r="G47" i="1"/>
  <c r="H47" i="1"/>
  <c r="C49" i="1"/>
  <c r="D48" i="1"/>
  <c r="R44" i="1"/>
  <c r="S44" i="1" s="1"/>
  <c r="T44" i="1" s="1"/>
  <c r="N46" i="1"/>
  <c r="O46" i="1" s="1"/>
  <c r="P46" i="1" s="1"/>
  <c r="Q46" i="1" s="1"/>
  <c r="L46" i="1" l="1"/>
  <c r="K46" i="1"/>
  <c r="M46" i="1" s="1"/>
  <c r="I47" i="1"/>
  <c r="J47" i="1" s="1"/>
  <c r="C50" i="1"/>
  <c r="D49" i="1"/>
  <c r="E48" i="1"/>
  <c r="F48" i="1"/>
  <c r="G48" i="1"/>
  <c r="H48" i="1"/>
  <c r="N47" i="1"/>
  <c r="O47" i="1" s="1"/>
  <c r="P47" i="1" s="1"/>
  <c r="Q47" i="1" s="1"/>
  <c r="N48" i="1" l="1"/>
  <c r="O48" i="1" s="1"/>
  <c r="P48" i="1" s="1"/>
  <c r="Q48" i="1" s="1"/>
  <c r="L47" i="1"/>
  <c r="K47" i="1"/>
  <c r="M47" i="1" s="1"/>
  <c r="I48" i="1"/>
  <c r="J48" i="1" s="1"/>
  <c r="R46" i="1"/>
  <c r="S46" i="1" s="1"/>
  <c r="T46" i="1" s="1"/>
  <c r="G49" i="1"/>
  <c r="F49" i="1"/>
  <c r="E49" i="1"/>
  <c r="H49" i="1"/>
  <c r="C51" i="1"/>
  <c r="D50" i="1"/>
  <c r="N49" i="1" l="1"/>
  <c r="O49" i="1" s="1"/>
  <c r="P49" i="1" s="1"/>
  <c r="Q49" i="1" s="1"/>
  <c r="R47" i="1"/>
  <c r="S47" i="1" s="1"/>
  <c r="T47" i="1" s="1"/>
  <c r="L48" i="1"/>
  <c r="K48" i="1"/>
  <c r="M48" i="1" s="1"/>
  <c r="C52" i="1"/>
  <c r="D51" i="1"/>
  <c r="E50" i="1"/>
  <c r="F50" i="1"/>
  <c r="G50" i="1"/>
  <c r="H50" i="1"/>
  <c r="I49" i="1"/>
  <c r="J49" i="1" s="1"/>
  <c r="R48" i="1"/>
  <c r="S48" i="1" s="1"/>
  <c r="T48" i="1" s="1"/>
  <c r="I50" i="1" l="1"/>
  <c r="J50" i="1" s="1"/>
  <c r="L49" i="1"/>
  <c r="E51" i="1"/>
  <c r="H51" i="1"/>
  <c r="G51" i="1"/>
  <c r="F51" i="1"/>
  <c r="I51" i="1" s="1"/>
  <c r="K49" i="1"/>
  <c r="M49" i="1" s="1"/>
  <c r="N50" i="1"/>
  <c r="O50" i="1" s="1"/>
  <c r="P50" i="1" s="1"/>
  <c r="Q50" i="1" s="1"/>
  <c r="C53" i="1"/>
  <c r="D52" i="1"/>
  <c r="K50" i="1" l="1"/>
  <c r="M50" i="1" s="1"/>
  <c r="L50" i="1"/>
  <c r="R50" i="1"/>
  <c r="S50" i="1" s="1"/>
  <c r="T50" i="1" s="1"/>
  <c r="G52" i="1"/>
  <c r="F52" i="1"/>
  <c r="E52" i="1"/>
  <c r="H52" i="1"/>
  <c r="C54" i="1"/>
  <c r="D53" i="1"/>
  <c r="J51" i="1"/>
  <c r="N51" i="1"/>
  <c r="O51" i="1" s="1"/>
  <c r="P51" i="1" s="1"/>
  <c r="Q51" i="1" s="1"/>
  <c r="K51" i="1"/>
  <c r="M51" i="1" s="1"/>
  <c r="R49" i="1"/>
  <c r="S49" i="1" s="1"/>
  <c r="T49" i="1" s="1"/>
  <c r="N52" i="1" l="1"/>
  <c r="O52" i="1" s="1"/>
  <c r="P52" i="1" s="1"/>
  <c r="Q52" i="1" s="1"/>
  <c r="C55" i="1"/>
  <c r="D54" i="1"/>
  <c r="R51" i="1"/>
  <c r="S51" i="1" s="1"/>
  <c r="T51" i="1" s="1"/>
  <c r="L51" i="1"/>
  <c r="G53" i="1"/>
  <c r="F53" i="1"/>
  <c r="E53" i="1"/>
  <c r="H53" i="1"/>
  <c r="I52" i="1"/>
  <c r="J52" i="1" s="1"/>
  <c r="N53" i="1" l="1"/>
  <c r="O53" i="1" s="1"/>
  <c r="P53" i="1" s="1"/>
  <c r="Q53" i="1" s="1"/>
  <c r="L52" i="1"/>
  <c r="K52" i="1"/>
  <c r="M52" i="1" s="1"/>
  <c r="I53" i="1"/>
  <c r="J53" i="1" s="1"/>
  <c r="E54" i="1"/>
  <c r="F54" i="1"/>
  <c r="G54" i="1"/>
  <c r="H54" i="1"/>
  <c r="C56" i="1"/>
  <c r="D55" i="1"/>
  <c r="I54" i="1" l="1"/>
  <c r="R52" i="1"/>
  <c r="S52" i="1" s="1"/>
  <c r="T52" i="1" s="1"/>
  <c r="D56" i="1"/>
  <c r="C57" i="1"/>
  <c r="D57" i="1" s="1"/>
  <c r="K53" i="1"/>
  <c r="M53" i="1" s="1"/>
  <c r="E55" i="1"/>
  <c r="F55" i="1"/>
  <c r="G55" i="1"/>
  <c r="H55" i="1"/>
  <c r="L53" i="1"/>
  <c r="R53" i="1"/>
  <c r="S53" i="1" s="1"/>
  <c r="T53" i="1" s="1"/>
  <c r="J54" i="1"/>
  <c r="N54" i="1"/>
  <c r="O54" i="1" s="1"/>
  <c r="P54" i="1" s="1"/>
  <c r="Q54" i="1" s="1"/>
  <c r="I55" i="1" l="1"/>
  <c r="J55" i="1" s="1"/>
  <c r="G57" i="1"/>
  <c r="F57" i="1"/>
  <c r="E57" i="1"/>
  <c r="H57" i="1"/>
  <c r="L54" i="1"/>
  <c r="N55" i="1"/>
  <c r="O55" i="1" s="1"/>
  <c r="P55" i="1" s="1"/>
  <c r="Q55" i="1" s="1"/>
  <c r="K54" i="1"/>
  <c r="M54" i="1" s="1"/>
  <c r="G56" i="1"/>
  <c r="F56" i="1"/>
  <c r="H56" i="1"/>
  <c r="E56" i="1"/>
  <c r="N56" i="1" s="1"/>
  <c r="O56" i="1" s="1"/>
  <c r="P56" i="1" s="1"/>
  <c r="Q56" i="1" s="1"/>
  <c r="K55" i="1" l="1"/>
  <c r="M55" i="1" s="1"/>
  <c r="L55" i="1"/>
  <c r="R55" i="1"/>
  <c r="S55" i="1" s="1"/>
  <c r="T55" i="1" s="1"/>
  <c r="N57" i="1"/>
  <c r="O57" i="1" s="1"/>
  <c r="P57" i="1" s="1"/>
  <c r="I56" i="1"/>
  <c r="R54" i="1"/>
  <c r="S54" i="1" s="1"/>
  <c r="T54" i="1" s="1"/>
  <c r="I57" i="1"/>
  <c r="J57" i="1" s="1"/>
  <c r="Q57" i="1" l="1"/>
  <c r="V12" i="1"/>
  <c r="W12" i="1" s="1"/>
  <c r="X12" i="1" s="1"/>
  <c r="L15" i="1" s="1"/>
  <c r="L57" i="1"/>
  <c r="K57" i="1"/>
  <c r="M57" i="1" s="1"/>
  <c r="J56" i="1"/>
  <c r="K56" i="1" s="1"/>
  <c r="M56" i="1" s="1"/>
  <c r="L56" i="1" l="1"/>
  <c r="R56" i="1"/>
  <c r="S56" i="1" s="1"/>
  <c r="T56" i="1" s="1"/>
  <c r="R57" i="1"/>
  <c r="S57" i="1" s="1"/>
  <c r="T57" i="1" s="1"/>
  <c r="L14" i="1" l="1"/>
</calcChain>
</file>

<file path=xl/sharedStrings.xml><?xml version="1.0" encoding="utf-8"?>
<sst xmlns="http://schemas.openxmlformats.org/spreadsheetml/2006/main" count="98" uniqueCount="71">
  <si>
    <t>A</t>
  </si>
  <si>
    <t>B</t>
  </si>
  <si>
    <t>G</t>
  </si>
  <si>
    <t>Dans Rep. TOV</t>
  </si>
  <si>
    <t>M</t>
  </si>
  <si>
    <t>Masse hayon</t>
  </si>
  <si>
    <t>(kg)</t>
  </si>
  <si>
    <t>S</t>
  </si>
  <si>
    <t>-</t>
  </si>
  <si>
    <t>T</t>
  </si>
  <si>
    <t>V</t>
  </si>
  <si>
    <t>(mm)</t>
  </si>
  <si>
    <t xml:space="preserve">X  </t>
  </si>
  <si>
    <t xml:space="preserve">Y  </t>
  </si>
  <si>
    <t>Dans XOY</t>
  </si>
  <si>
    <t>Poids hayon</t>
  </si>
  <si>
    <t>(N)</t>
  </si>
  <si>
    <t>P</t>
  </si>
  <si>
    <t>θ</t>
  </si>
  <si>
    <t>( ° )</t>
  </si>
  <si>
    <t>(rad)</t>
  </si>
  <si>
    <t>θmin</t>
  </si>
  <si>
    <t>Entrez vos valeurs dans les cellules jaunes (attention aux signes!)</t>
  </si>
  <si>
    <t>Xa</t>
  </si>
  <si>
    <t>Ya</t>
  </si>
  <si>
    <t>Xg</t>
  </si>
  <si>
    <t>Yg</t>
  </si>
  <si>
    <t>k</t>
  </si>
  <si>
    <t>C</t>
  </si>
  <si>
    <t>Xf</t>
  </si>
  <si>
    <t>Yf</t>
  </si>
  <si>
    <t>Xro</t>
  </si>
  <si>
    <t>Yro</t>
  </si>
  <si>
    <r>
      <rPr>
        <b/>
        <sz val="11"/>
        <color rgb="FFFF0000"/>
        <rFont val="Calibri"/>
        <family val="2"/>
        <scheme val="minor"/>
      </rPr>
      <t xml:space="preserve">Attention! </t>
    </r>
    <r>
      <rPr>
        <sz val="11"/>
        <color rgb="FFFF0000"/>
        <rFont val="Calibri"/>
        <family val="2"/>
        <scheme val="minor"/>
      </rPr>
      <t>Si Xf devient positive, cela signifie que le hayon a passé son point d'équilibre et tend à basculer seul vers le point C. Le câble ne sera alors plus tendu.
Si à l'abaissement, on commence à dérouler le câble puis que l'on aide au basculement, le hayon peut chuter brutalement et il y a risque d'accident!
Il ne faut donc en aucun cas que l'équilibre du hayon soit tel qu'il puisse rester en position relevée s'il n'y est pas contraint par le câble (mettre éventuellement des ressorts pour le repousser...)</t>
    </r>
  </si>
  <si>
    <r>
      <rPr>
        <sz val="11"/>
        <color theme="1"/>
        <rFont val="Calibri"/>
        <family val="2"/>
      </rPr>
      <t>φ</t>
    </r>
    <r>
      <rPr>
        <sz val="11"/>
        <color theme="1"/>
        <rFont val="Calibri"/>
        <family val="2"/>
        <scheme val="minor"/>
      </rPr>
      <t xml:space="preserve"> tambour</t>
    </r>
  </si>
  <si>
    <t>Le</t>
  </si>
  <si>
    <t>Nt</t>
  </si>
  <si>
    <t>CAmax</t>
  </si>
  <si>
    <t>* tours morts compris</t>
  </si>
  <si>
    <t>Hayon ouvert</t>
  </si>
  <si>
    <t>Xao</t>
  </si>
  <si>
    <t>Yao</t>
  </si>
  <si>
    <t>Dist. CA</t>
  </si>
  <si>
    <t>e</t>
  </si>
  <si>
    <t>R enroul.</t>
  </si>
  <si>
    <t>Couple C</t>
  </si>
  <si>
    <t>(N.m)</t>
  </si>
  <si>
    <t>Effort F</t>
  </si>
  <si>
    <t>(m)</t>
  </si>
  <si>
    <t>(tr/min)</t>
  </si>
  <si>
    <t>n</t>
  </si>
  <si>
    <t>(W)</t>
  </si>
  <si>
    <t>Vit. Tamb.</t>
  </si>
  <si>
    <t>(rad/s)</t>
  </si>
  <si>
    <t>ω</t>
  </si>
  <si>
    <t>P utile</t>
  </si>
  <si>
    <t>φ moy. enr.</t>
  </si>
  <si>
    <t>Dm</t>
  </si>
  <si>
    <t>L moy. enr.</t>
  </si>
  <si>
    <t>Lm</t>
  </si>
  <si>
    <t>Temps</t>
  </si>
  <si>
    <t>t</t>
  </si>
  <si>
    <t>(s)</t>
  </si>
  <si>
    <t xml:space="preserve">  (W)</t>
  </si>
  <si>
    <t xml:space="preserve">  (s)</t>
  </si>
  <si>
    <t xml:space="preserve">Temps fermeture :  </t>
  </si>
  <si>
    <t>** ne tient compte d'aucun rendement ni frottement</t>
  </si>
  <si>
    <r>
      <t xml:space="preserve">Dt </t>
    </r>
    <r>
      <rPr>
        <sz val="11"/>
        <color rgb="FF0070C0"/>
        <rFont val="Calibri"/>
        <family val="2"/>
        <scheme val="minor"/>
      </rPr>
      <t>*</t>
    </r>
  </si>
  <si>
    <r>
      <t xml:space="preserve">Puissance mini </t>
    </r>
    <r>
      <rPr>
        <sz val="11"/>
        <color rgb="FF0070C0"/>
        <rFont val="Calibri"/>
        <family val="2"/>
        <scheme val="minor"/>
      </rPr>
      <t>**</t>
    </r>
    <r>
      <rPr>
        <sz val="11"/>
        <color theme="1"/>
        <rFont val="Calibri"/>
        <family val="2"/>
        <scheme val="minor"/>
      </rPr>
      <t xml:space="preserve">  :  </t>
    </r>
  </si>
  <si>
    <t>Ep. sangle</t>
  </si>
  <si>
    <t>Vit. tambour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</si>
</sst>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 x14ac:knownFonts="1">
    <font>
      <sz val="11"/>
      <color theme="1"/>
      <name val="Calibri"/>
      <family val="2"/>
      <scheme val="minor"/>
    </font>
    <font>
      <sz val="11"/>
      <color rgb="FFFF0000"/>
      <name val="Calibri"/>
      <family val="2"/>
      <scheme val="minor"/>
    </font>
    <font>
      <sz val="10"/>
      <color rgb="FF000000"/>
      <name val="Calibri"/>
      <family val="2"/>
      <scheme val="minor"/>
    </font>
    <font>
      <b/>
      <sz val="11"/>
      <color rgb="FFFF0000"/>
      <name val="Calibri"/>
      <family val="2"/>
      <scheme val="minor"/>
    </font>
    <font>
      <sz val="11"/>
      <color theme="1"/>
      <name val="Calibri"/>
      <family val="2"/>
    </font>
    <font>
      <sz val="11"/>
      <color rgb="FF0070C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s>
  <borders count="15">
    <border>
      <left/>
      <right/>
      <top/>
      <bottom/>
      <diagonal/>
    </border>
    <border>
      <left style="thin">
        <color auto="1"/>
      </left>
      <right style="thin">
        <color auto="1"/>
      </right>
      <top style="thin">
        <color auto="1"/>
      </top>
      <bottom style="thin">
        <color theme="0" tint="-0.24994659260841701"/>
      </bottom>
      <diagonal/>
    </border>
    <border>
      <left style="thin">
        <color auto="1"/>
      </left>
      <right style="thin">
        <color auto="1"/>
      </right>
      <top style="thin">
        <color theme="0" tint="-0.24994659260841701"/>
      </top>
      <bottom style="thin">
        <color theme="0" tint="-0.24994659260841701"/>
      </bottom>
      <diagonal/>
    </border>
    <border>
      <left style="thin">
        <color auto="1"/>
      </left>
      <right style="thin">
        <color auto="1"/>
      </right>
      <top style="thin">
        <color theme="0" tint="-0.2499465926084170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top style="thin">
        <color auto="1"/>
      </top>
      <bottom/>
      <diagonal/>
    </border>
  </borders>
  <cellStyleXfs count="1">
    <xf numFmtId="0" fontId="0" fillId="0" borderId="0"/>
  </cellStyleXfs>
  <cellXfs count="50">
    <xf numFmtId="0" fontId="0" fillId="0" borderId="0" xfId="0"/>
    <xf numFmtId="0" fontId="0" fillId="0" borderId="0" xfId="0" applyAlignment="1">
      <alignment horizontal="center"/>
    </xf>
    <xf numFmtId="0" fontId="0" fillId="0" borderId="0" xfId="0" quotePrefix="1" applyFill="1" applyAlignment="1">
      <alignment horizontal="center"/>
    </xf>
    <xf numFmtId="0" fontId="0" fillId="0" borderId="0" xfId="0" applyFill="1" applyAlignment="1">
      <alignment horizontal="center"/>
    </xf>
    <xf numFmtId="0" fontId="0" fillId="0" borderId="0" xfId="0" applyAlignment="1">
      <alignment horizontal="right"/>
    </xf>
    <xf numFmtId="0" fontId="1" fillId="0" borderId="0" xfId="0" applyFont="1"/>
    <xf numFmtId="0" fontId="0" fillId="0" borderId="2" xfId="0" applyBorder="1" applyAlignment="1">
      <alignment horizontal="center"/>
    </xf>
    <xf numFmtId="0" fontId="0" fillId="3" borderId="2" xfId="0" applyFill="1" applyBorder="1" applyAlignment="1">
      <alignment horizontal="center"/>
    </xf>
    <xf numFmtId="0" fontId="0" fillId="3" borderId="3" xfId="0" applyFill="1" applyBorder="1" applyAlignment="1">
      <alignment horizontal="center"/>
    </xf>
    <xf numFmtId="0" fontId="0" fillId="0" borderId="1" xfId="0" applyBorder="1" applyAlignment="1">
      <alignment horizontal="center"/>
    </xf>
    <xf numFmtId="0" fontId="0" fillId="2" borderId="2" xfId="0" quotePrefix="1" applyFill="1" applyBorder="1" applyAlignment="1">
      <alignment horizontal="center"/>
    </xf>
    <xf numFmtId="0" fontId="0" fillId="0" borderId="3" xfId="0" applyFill="1" applyBorder="1" applyAlignment="1">
      <alignment horizontal="center"/>
    </xf>
    <xf numFmtId="0" fontId="0" fillId="0" borderId="0" xfId="0" applyAlignment="1"/>
    <xf numFmtId="0" fontId="0" fillId="3" borderId="2" xfId="0" quotePrefix="1" applyFill="1" applyBorder="1" applyAlignment="1">
      <alignment horizontal="center"/>
    </xf>
    <xf numFmtId="0" fontId="0" fillId="0" borderId="2" xfId="0" quotePrefix="1" applyBorder="1" applyAlignment="1">
      <alignment horizontal="center"/>
    </xf>
    <xf numFmtId="0" fontId="0" fillId="0" borderId="3" xfId="0" applyBorder="1" applyAlignment="1">
      <alignment horizontal="center"/>
    </xf>
    <xf numFmtId="2" fontId="0" fillId="0" borderId="3" xfId="0" applyNumberFormat="1" applyFill="1" applyBorder="1" applyAlignment="1">
      <alignment horizontal="center"/>
    </xf>
    <xf numFmtId="0" fontId="0" fillId="0" borderId="0" xfId="0" applyBorder="1" applyAlignment="1"/>
    <xf numFmtId="0" fontId="0" fillId="0" borderId="0" xfId="0" applyBorder="1" applyAlignment="1">
      <alignment horizontal="center"/>
    </xf>
    <xf numFmtId="2" fontId="0" fillId="0" borderId="3" xfId="0" applyNumberFormat="1" applyBorder="1" applyAlignment="1">
      <alignment horizontal="center"/>
    </xf>
    <xf numFmtId="0" fontId="0" fillId="0" borderId="0" xfId="0" quotePrefix="1" applyBorder="1" applyAlignment="1">
      <alignment horizontal="center"/>
    </xf>
    <xf numFmtId="0" fontId="4" fillId="0" borderId="2" xfId="0" applyFont="1" applyBorder="1" applyAlignment="1">
      <alignment horizontal="center"/>
    </xf>
    <xf numFmtId="0" fontId="0" fillId="0" borderId="0" xfId="0" applyAlignment="1">
      <alignment horizontal="right" vertical="center"/>
    </xf>
    <xf numFmtId="0" fontId="0" fillId="4" borderId="0" xfId="0" applyFill="1" applyAlignment="1">
      <alignment horizontal="center"/>
    </xf>
    <xf numFmtId="0" fontId="2" fillId="0" borderId="1" xfId="0" applyFont="1" applyBorder="1" applyAlignment="1">
      <alignment horizontal="center" vertical="center"/>
    </xf>
    <xf numFmtId="0" fontId="0" fillId="0" borderId="1" xfId="0" applyFill="1" applyBorder="1" applyAlignment="1">
      <alignment horizontal="center"/>
    </xf>
    <xf numFmtId="0" fontId="0" fillId="0" borderId="2" xfId="0" applyFill="1" applyBorder="1" applyAlignment="1">
      <alignment horizontal="center"/>
    </xf>
    <xf numFmtId="0" fontId="0" fillId="2" borderId="2" xfId="0" applyFill="1" applyBorder="1" applyAlignment="1">
      <alignment horizontal="center"/>
    </xf>
    <xf numFmtId="2" fontId="0" fillId="0" borderId="2" xfId="0" applyNumberFormat="1" applyBorder="1" applyAlignment="1">
      <alignment horizontal="center"/>
    </xf>
    <xf numFmtId="164" fontId="0" fillId="0" borderId="2" xfId="0" applyNumberFormat="1" applyBorder="1" applyAlignment="1">
      <alignment horizontal="center"/>
    </xf>
    <xf numFmtId="0" fontId="0" fillId="2" borderId="3" xfId="0" applyFill="1" applyBorder="1" applyAlignment="1">
      <alignment horizontal="center"/>
    </xf>
    <xf numFmtId="164" fontId="0" fillId="0" borderId="3" xfId="0" applyNumberFormat="1" applyBorder="1" applyAlignment="1">
      <alignment horizontal="center"/>
    </xf>
    <xf numFmtId="0" fontId="5" fillId="0" borderId="0" xfId="0" applyFont="1"/>
    <xf numFmtId="0" fontId="0" fillId="0" borderId="1"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1" fillId="0" borderId="6" xfId="0" applyFont="1" applyBorder="1" applyAlignment="1">
      <alignment horizontal="justify" vertical="top" wrapText="1"/>
    </xf>
    <xf numFmtId="0" fontId="1" fillId="0" borderId="7" xfId="0" applyFont="1" applyBorder="1" applyAlignment="1">
      <alignment horizontal="justify" vertical="top" wrapText="1"/>
    </xf>
    <xf numFmtId="0" fontId="1" fillId="0" borderId="8" xfId="0" applyFont="1" applyBorder="1" applyAlignment="1"/>
    <xf numFmtId="0" fontId="1" fillId="0" borderId="9" xfId="0" applyFont="1" applyBorder="1" applyAlignment="1">
      <alignment horizontal="justify" vertical="top" wrapText="1"/>
    </xf>
    <xf numFmtId="0" fontId="1" fillId="0" borderId="0" xfId="0" applyFont="1" applyBorder="1" applyAlignment="1">
      <alignment horizontal="justify" vertical="top" wrapText="1"/>
    </xf>
    <xf numFmtId="0" fontId="1" fillId="0" borderId="10" xfId="0" applyFont="1" applyBorder="1" applyAlignment="1"/>
    <xf numFmtId="0" fontId="1" fillId="0" borderId="9" xfId="0" applyFont="1" applyBorder="1" applyAlignment="1"/>
    <xf numFmtId="0" fontId="1" fillId="0" borderId="0" xfId="0" applyFont="1" applyBorder="1" applyAlignment="1"/>
    <xf numFmtId="0" fontId="0" fillId="0" borderId="11" xfId="0" applyBorder="1" applyAlignment="1"/>
    <xf numFmtId="0" fontId="0" fillId="0" borderId="12" xfId="0" applyBorder="1" applyAlignment="1"/>
    <xf numFmtId="0" fontId="0" fillId="0" borderId="13" xfId="0" applyBorder="1" applyAlignment="1"/>
    <xf numFmtId="0" fontId="5" fillId="0" borderId="14" xfId="0" applyFont="1" applyFill="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cellXfs>
  <cellStyles count="1">
    <cellStyle name="Normal" xfId="0" builtinId="0"/>
  </cellStyles>
  <dxfs count="1">
    <dxf>
      <font>
        <color auto="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9</xdr:col>
      <xdr:colOff>447674</xdr:colOff>
      <xdr:row>29</xdr:row>
      <xdr:rowOff>0</xdr:rowOff>
    </xdr:from>
    <xdr:to>
      <xdr:col>9</xdr:col>
      <xdr:colOff>447674</xdr:colOff>
      <xdr:row>32</xdr:row>
      <xdr:rowOff>2380</xdr:rowOff>
    </xdr:to>
    <xdr:cxnSp macro="">
      <xdr:nvCxnSpPr>
        <xdr:cNvPr id="87" name="Connecteur droit avec flèche 86"/>
        <xdr:cNvCxnSpPr/>
      </xdr:nvCxnSpPr>
      <xdr:spPr>
        <a:xfrm>
          <a:off x="6555580" y="5548313"/>
          <a:ext cx="0" cy="573880"/>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697706</xdr:colOff>
      <xdr:row>10</xdr:row>
      <xdr:rowOff>7142</xdr:rowOff>
    </xdr:from>
    <xdr:to>
      <xdr:col>7</xdr:col>
      <xdr:colOff>645318</xdr:colOff>
      <xdr:row>16</xdr:row>
      <xdr:rowOff>45242</xdr:rowOff>
    </xdr:to>
    <xdr:grpSp>
      <xdr:nvGrpSpPr>
        <xdr:cNvPr id="23" name="Groupe 22"/>
        <xdr:cNvGrpSpPr/>
      </xdr:nvGrpSpPr>
      <xdr:grpSpPr>
        <a:xfrm>
          <a:off x="1447800" y="1912142"/>
          <a:ext cx="3757612" cy="1181100"/>
          <a:chOff x="1452902" y="1912142"/>
          <a:chExt cx="3757612" cy="1181100"/>
        </a:xfrm>
      </xdr:grpSpPr>
      <xdr:sp macro="" textlink="">
        <xdr:nvSpPr>
          <xdr:cNvPr id="4" name="Ellipse 3"/>
          <xdr:cNvSpPr/>
        </xdr:nvSpPr>
        <xdr:spPr>
          <a:xfrm>
            <a:off x="1663404" y="2832257"/>
            <a:ext cx="45720" cy="45720"/>
          </a:xfrm>
          <a:prstGeom prst="ellipse">
            <a:avLst/>
          </a:prstGeom>
          <a:solidFill>
            <a:srgbClr val="0070C0"/>
          </a:solid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5" name="Ellipse 4"/>
          <xdr:cNvSpPr/>
        </xdr:nvSpPr>
        <xdr:spPr>
          <a:xfrm>
            <a:off x="4330404" y="2809133"/>
            <a:ext cx="45720" cy="45720"/>
          </a:xfrm>
          <a:prstGeom prst="ellipse">
            <a:avLst/>
          </a:prstGeom>
          <a:solidFill>
            <a:srgbClr val="0070C0"/>
          </a:solid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6" name="Trapèze 5"/>
          <xdr:cNvSpPr/>
        </xdr:nvSpPr>
        <xdr:spPr>
          <a:xfrm rot="16200000">
            <a:off x="1633877" y="2793204"/>
            <a:ext cx="104775" cy="114300"/>
          </a:xfrm>
          <a:prstGeom prst="trapezoid">
            <a:avLst/>
          </a:prstGeom>
          <a:no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7" name="Ellipse 6"/>
          <xdr:cNvSpPr/>
        </xdr:nvSpPr>
        <xdr:spPr>
          <a:xfrm>
            <a:off x="3301704" y="2809352"/>
            <a:ext cx="45720" cy="45720"/>
          </a:xfrm>
          <a:prstGeom prst="ellipse">
            <a:avLst/>
          </a:prstGeom>
          <a:solidFill>
            <a:srgbClr val="0070C0"/>
          </a:solid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8" name="Rectangle 7"/>
          <xdr:cNvSpPr/>
        </xdr:nvSpPr>
        <xdr:spPr>
          <a:xfrm>
            <a:off x="1743414" y="2791733"/>
            <a:ext cx="3067050" cy="123824"/>
          </a:xfrm>
          <a:prstGeom prst="rect">
            <a:avLst/>
          </a:prstGeom>
          <a:no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xnSp macro="">
        <xdr:nvCxnSpPr>
          <xdr:cNvPr id="10" name="Connecteur droit avec flèche 9"/>
          <xdr:cNvCxnSpPr/>
        </xdr:nvCxnSpPr>
        <xdr:spPr>
          <a:xfrm flipV="1">
            <a:off x="1684677" y="1912142"/>
            <a:ext cx="0" cy="1114426"/>
          </a:xfrm>
          <a:prstGeom prst="straightConnector1">
            <a:avLst/>
          </a:prstGeom>
          <a:ln>
            <a:solidFill>
              <a:schemeClr val="bg1">
                <a:lumMod val="50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11" name="Connecteur droit avec flèche 10"/>
          <xdr:cNvCxnSpPr/>
        </xdr:nvCxnSpPr>
        <xdr:spPr>
          <a:xfrm flipV="1">
            <a:off x="1452902" y="2851942"/>
            <a:ext cx="3709990" cy="1"/>
          </a:xfrm>
          <a:prstGeom prst="straightConnector1">
            <a:avLst/>
          </a:prstGeom>
          <a:ln>
            <a:solidFill>
              <a:schemeClr val="bg1">
                <a:lumMod val="50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13" name="ZoneTexte 12"/>
          <xdr:cNvSpPr txBox="1"/>
        </xdr:nvSpPr>
        <xdr:spPr>
          <a:xfrm>
            <a:off x="1476714" y="2940842"/>
            <a:ext cx="180975" cy="152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O</a:t>
            </a:r>
          </a:p>
        </xdr:txBody>
      </xdr:sp>
      <xdr:sp macro="" textlink="">
        <xdr:nvSpPr>
          <xdr:cNvPr id="14" name="ZoneTexte 13"/>
          <xdr:cNvSpPr txBox="1"/>
        </xdr:nvSpPr>
        <xdr:spPr>
          <a:xfrm>
            <a:off x="1476714" y="1959766"/>
            <a:ext cx="180975" cy="152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V</a:t>
            </a:r>
          </a:p>
        </xdr:txBody>
      </xdr:sp>
      <xdr:sp macro="" textlink="">
        <xdr:nvSpPr>
          <xdr:cNvPr id="15" name="ZoneTexte 14"/>
          <xdr:cNvSpPr txBox="1"/>
        </xdr:nvSpPr>
        <xdr:spPr>
          <a:xfrm>
            <a:off x="5029539" y="2607467"/>
            <a:ext cx="180975" cy="152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T</a:t>
            </a:r>
          </a:p>
        </xdr:txBody>
      </xdr:sp>
      <xdr:sp macro="" textlink="">
        <xdr:nvSpPr>
          <xdr:cNvPr id="16" name="ZoneTexte 15"/>
          <xdr:cNvSpPr txBox="1"/>
        </xdr:nvSpPr>
        <xdr:spPr>
          <a:xfrm>
            <a:off x="4262097" y="2571750"/>
            <a:ext cx="153422" cy="1540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A</a:t>
            </a:r>
          </a:p>
        </xdr:txBody>
      </xdr:sp>
      <xdr:sp macro="" textlink="">
        <xdr:nvSpPr>
          <xdr:cNvPr id="17" name="ZoneTexte 16"/>
          <xdr:cNvSpPr txBox="1"/>
        </xdr:nvSpPr>
        <xdr:spPr>
          <a:xfrm>
            <a:off x="3238839" y="2578892"/>
            <a:ext cx="180975" cy="152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G</a:t>
            </a:r>
          </a:p>
        </xdr:txBody>
      </xdr:sp>
      <xdr:sp macro="" textlink="">
        <xdr:nvSpPr>
          <xdr:cNvPr id="109" name="ZoneTexte 108"/>
          <xdr:cNvSpPr txBox="1"/>
        </xdr:nvSpPr>
        <xdr:spPr>
          <a:xfrm>
            <a:off x="4819988" y="2881306"/>
            <a:ext cx="180975" cy="152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B</a:t>
            </a:r>
          </a:p>
        </xdr:txBody>
      </xdr:sp>
      <xdr:sp macro="" textlink="">
        <xdr:nvSpPr>
          <xdr:cNvPr id="125" name="Ellipse 124"/>
          <xdr:cNvSpPr/>
        </xdr:nvSpPr>
        <xdr:spPr>
          <a:xfrm>
            <a:off x="4781141" y="3003024"/>
            <a:ext cx="45720" cy="45720"/>
          </a:xfrm>
          <a:prstGeom prst="ellipse">
            <a:avLst/>
          </a:prstGeom>
          <a:solidFill>
            <a:srgbClr val="0070C0"/>
          </a:solid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2" name="Forme libre 1"/>
          <xdr:cNvSpPr/>
        </xdr:nvSpPr>
        <xdr:spPr>
          <a:xfrm>
            <a:off x="4592410" y="2918734"/>
            <a:ext cx="210911" cy="129268"/>
          </a:xfrm>
          <a:custGeom>
            <a:avLst/>
            <a:gdLst>
              <a:gd name="connsiteX0" fmla="*/ 210911 w 210911"/>
              <a:gd name="connsiteY0" fmla="*/ 0 h 108857"/>
              <a:gd name="connsiteX1" fmla="*/ 210911 w 210911"/>
              <a:gd name="connsiteY1" fmla="*/ 102053 h 108857"/>
              <a:gd name="connsiteX2" fmla="*/ 122465 w 210911"/>
              <a:gd name="connsiteY2" fmla="*/ 108857 h 108857"/>
              <a:gd name="connsiteX3" fmla="*/ 0 w 210911"/>
              <a:gd name="connsiteY3" fmla="*/ 0 h 108857"/>
              <a:gd name="connsiteX0" fmla="*/ 210911 w 210911"/>
              <a:gd name="connsiteY0" fmla="*/ 0 h 129268"/>
              <a:gd name="connsiteX1" fmla="*/ 210911 w 210911"/>
              <a:gd name="connsiteY1" fmla="*/ 102053 h 129268"/>
              <a:gd name="connsiteX2" fmla="*/ 122465 w 210911"/>
              <a:gd name="connsiteY2" fmla="*/ 129268 h 129268"/>
              <a:gd name="connsiteX3" fmla="*/ 0 w 210911"/>
              <a:gd name="connsiteY3" fmla="*/ 0 h 129268"/>
            </a:gdLst>
            <a:ahLst/>
            <a:cxnLst>
              <a:cxn ang="0">
                <a:pos x="connsiteX0" y="connsiteY0"/>
              </a:cxn>
              <a:cxn ang="0">
                <a:pos x="connsiteX1" y="connsiteY1"/>
              </a:cxn>
              <a:cxn ang="0">
                <a:pos x="connsiteX2" y="connsiteY2"/>
              </a:cxn>
              <a:cxn ang="0">
                <a:pos x="connsiteX3" y="connsiteY3"/>
              </a:cxn>
            </a:cxnLst>
            <a:rect l="l" t="t" r="r" b="b"/>
            <a:pathLst>
              <a:path w="210911" h="129268">
                <a:moveTo>
                  <a:pt x="210911" y="0"/>
                </a:moveTo>
                <a:lnTo>
                  <a:pt x="210911" y="102053"/>
                </a:lnTo>
                <a:lnTo>
                  <a:pt x="122465" y="129268"/>
                </a:lnTo>
                <a:lnTo>
                  <a:pt x="0" y="0"/>
                </a:lnTo>
              </a:path>
            </a:pathLst>
          </a:custGeom>
          <a:no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editAs="oneCell">
    <xdr:from>
      <xdr:col>12</xdr:col>
      <xdr:colOff>631033</xdr:colOff>
      <xdr:row>0</xdr:row>
      <xdr:rowOff>171448</xdr:rowOff>
    </xdr:from>
    <xdr:to>
      <xdr:col>18</xdr:col>
      <xdr:colOff>716754</xdr:colOff>
      <xdr:row>31</xdr:row>
      <xdr:rowOff>22048</xdr:rowOff>
    </xdr:to>
    <xdr:grpSp>
      <xdr:nvGrpSpPr>
        <xdr:cNvPr id="24" name="Groupe 23"/>
        <xdr:cNvGrpSpPr/>
      </xdr:nvGrpSpPr>
      <xdr:grpSpPr>
        <a:xfrm>
          <a:off x="9334502" y="171448"/>
          <a:ext cx="4776783" cy="5779913"/>
          <a:chOff x="9334502" y="171448"/>
          <a:chExt cx="4776783" cy="5779913"/>
        </a:xfrm>
      </xdr:grpSpPr>
      <xdr:sp macro="" textlink="">
        <xdr:nvSpPr>
          <xdr:cNvPr id="93" name="Arc 92"/>
          <xdr:cNvSpPr/>
        </xdr:nvSpPr>
        <xdr:spPr>
          <a:xfrm flipH="1">
            <a:off x="9334502" y="3090577"/>
            <a:ext cx="2478264" cy="2482432"/>
          </a:xfrm>
          <a:prstGeom prst="arc">
            <a:avLst>
              <a:gd name="adj1" fmla="val 10865472"/>
              <a:gd name="adj2" fmla="val 11631052"/>
            </a:avLst>
          </a:prstGeom>
          <a:ln w="3175">
            <a:solidFill>
              <a:schemeClr val="bg1">
                <a:lumMod val="50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sp macro="" textlink="">
        <xdr:nvSpPr>
          <xdr:cNvPr id="52" name="Ellipse 51"/>
          <xdr:cNvSpPr/>
        </xdr:nvSpPr>
        <xdr:spPr>
          <a:xfrm>
            <a:off x="9924279" y="1402808"/>
            <a:ext cx="309780" cy="309026"/>
          </a:xfrm>
          <a:prstGeom prst="ellipse">
            <a:avLst/>
          </a:prstGeom>
          <a:no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34" name="Rectangle 33"/>
          <xdr:cNvSpPr/>
        </xdr:nvSpPr>
        <xdr:spPr>
          <a:xfrm rot="1424032">
            <a:off x="10504858" y="4910971"/>
            <a:ext cx="3065832" cy="47543"/>
          </a:xfrm>
          <a:prstGeom prst="rect">
            <a:avLst/>
          </a:prstGeom>
          <a:no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35" name="Trapèze 34"/>
          <xdr:cNvSpPr/>
        </xdr:nvSpPr>
        <xdr:spPr>
          <a:xfrm rot="1424032">
            <a:off x="12978453" y="5206932"/>
            <a:ext cx="162040" cy="142628"/>
          </a:xfrm>
          <a:prstGeom prst="trapezoid">
            <a:avLst/>
          </a:prstGeom>
          <a:no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36" name="Ellipse 35"/>
          <xdr:cNvSpPr/>
        </xdr:nvSpPr>
        <xdr:spPr>
          <a:xfrm rot="1424032">
            <a:off x="10542154" y="4311967"/>
            <a:ext cx="45753" cy="45641"/>
          </a:xfrm>
          <a:prstGeom prst="ellipse">
            <a:avLst/>
          </a:prstGeom>
          <a:no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37" name="Ellipse 36"/>
          <xdr:cNvSpPr/>
        </xdr:nvSpPr>
        <xdr:spPr>
          <a:xfrm rot="1424032">
            <a:off x="13046715" y="5244283"/>
            <a:ext cx="45753" cy="45641"/>
          </a:xfrm>
          <a:prstGeom prst="ellipse">
            <a:avLst/>
          </a:prstGeom>
          <a:no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38" name="Trapèze 37"/>
          <xdr:cNvSpPr/>
        </xdr:nvSpPr>
        <xdr:spPr>
          <a:xfrm rot="17624032">
            <a:off x="10514653" y="4273245"/>
            <a:ext cx="104594" cy="114381"/>
          </a:xfrm>
          <a:prstGeom prst="trapezoid">
            <a:avLst/>
          </a:prstGeom>
          <a:no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39" name="Ellipse 38"/>
          <xdr:cNvSpPr/>
        </xdr:nvSpPr>
        <xdr:spPr>
          <a:xfrm rot="1424032">
            <a:off x="12054473" y="4944114"/>
            <a:ext cx="45753" cy="45641"/>
          </a:xfrm>
          <a:prstGeom prst="ellipse">
            <a:avLst/>
          </a:prstGeom>
          <a:no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40" name="Rectangle 39"/>
          <xdr:cNvSpPr/>
        </xdr:nvSpPr>
        <xdr:spPr>
          <a:xfrm rot="1424032">
            <a:off x="10478004" y="4952885"/>
            <a:ext cx="3065832" cy="85577"/>
          </a:xfrm>
          <a:prstGeom prst="rect">
            <a:avLst/>
          </a:prstGeom>
          <a:no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nvGrpSpPr>
          <xdr:cNvPr id="41" name="Groupe 40"/>
          <xdr:cNvGrpSpPr/>
        </xdr:nvGrpSpPr>
        <xdr:grpSpPr>
          <a:xfrm rot="16200000">
            <a:off x="8911661" y="2643512"/>
            <a:ext cx="3180961" cy="276422"/>
            <a:chOff x="2695576" y="1304925"/>
            <a:chExt cx="3181349" cy="276225"/>
          </a:xfrm>
          <a:noFill/>
        </xdr:grpSpPr>
        <xdr:sp macro="" textlink="">
          <xdr:nvSpPr>
            <xdr:cNvPr id="42" name="Rectangle 41"/>
            <xdr:cNvSpPr/>
          </xdr:nvSpPr>
          <xdr:spPr>
            <a:xfrm>
              <a:off x="2809875" y="1447800"/>
              <a:ext cx="3067050" cy="47625"/>
            </a:xfrm>
            <a:prstGeom prst="rect">
              <a:avLst/>
            </a:prstGeom>
            <a:grp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43" name="Trapèze 42"/>
            <xdr:cNvSpPr/>
          </xdr:nvSpPr>
          <xdr:spPr>
            <a:xfrm>
              <a:off x="5334000" y="1304925"/>
              <a:ext cx="161925" cy="142875"/>
            </a:xfrm>
            <a:prstGeom prst="trapezoid">
              <a:avLst/>
            </a:prstGeom>
            <a:grp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44" name="Ellipse 43"/>
            <xdr:cNvSpPr/>
          </xdr:nvSpPr>
          <xdr:spPr>
            <a:xfrm>
              <a:off x="2729865" y="1491615"/>
              <a:ext cx="45720" cy="45720"/>
            </a:xfrm>
            <a:prstGeom prst="ellipse">
              <a:avLst/>
            </a:prstGeom>
            <a:grp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45" name="Ellipse 44"/>
            <xdr:cNvSpPr/>
          </xdr:nvSpPr>
          <xdr:spPr>
            <a:xfrm>
              <a:off x="5396865" y="1339215"/>
              <a:ext cx="45720" cy="45720"/>
            </a:xfrm>
            <a:prstGeom prst="ellipse">
              <a:avLst/>
            </a:prstGeom>
            <a:grp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46" name="Trapèze 45"/>
            <xdr:cNvSpPr/>
          </xdr:nvSpPr>
          <xdr:spPr>
            <a:xfrm rot="16200000">
              <a:off x="2700338" y="1452562"/>
              <a:ext cx="104775" cy="114300"/>
            </a:xfrm>
            <a:prstGeom prst="trapezoid">
              <a:avLst/>
            </a:prstGeom>
            <a:grp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47" name="Ellipse 46"/>
            <xdr:cNvSpPr/>
          </xdr:nvSpPr>
          <xdr:spPr>
            <a:xfrm>
              <a:off x="4368165" y="1463040"/>
              <a:ext cx="45720" cy="45720"/>
            </a:xfrm>
            <a:prstGeom prst="ellipse">
              <a:avLst/>
            </a:prstGeom>
            <a:grp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48" name="Rectangle 47"/>
            <xdr:cNvSpPr/>
          </xdr:nvSpPr>
          <xdr:spPr>
            <a:xfrm>
              <a:off x="2809875" y="1495425"/>
              <a:ext cx="3067050" cy="85725"/>
            </a:xfrm>
            <a:prstGeom prst="rect">
              <a:avLst/>
            </a:prstGeom>
            <a:grp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xnSp macro="">
        <xdr:nvCxnSpPr>
          <xdr:cNvPr id="18" name="Connecteur droit avec flèche 17"/>
          <xdr:cNvCxnSpPr/>
        </xdr:nvCxnSpPr>
        <xdr:spPr>
          <a:xfrm flipV="1">
            <a:off x="10578395" y="356866"/>
            <a:ext cx="0" cy="5518019"/>
          </a:xfrm>
          <a:prstGeom prst="straightConnector1">
            <a:avLst/>
          </a:prstGeom>
          <a:ln>
            <a:solidFill>
              <a:schemeClr val="bg1">
                <a:lumMod val="50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19" name="Connecteur droit avec flèche 18"/>
          <xdr:cNvCxnSpPr/>
        </xdr:nvCxnSpPr>
        <xdr:spPr>
          <a:xfrm flipV="1">
            <a:off x="10354399" y="4315153"/>
            <a:ext cx="3709230" cy="1"/>
          </a:xfrm>
          <a:prstGeom prst="straightConnector1">
            <a:avLst/>
          </a:prstGeom>
          <a:ln>
            <a:solidFill>
              <a:schemeClr val="bg1">
                <a:lumMod val="50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20" name="ZoneTexte 19"/>
          <xdr:cNvSpPr txBox="1"/>
        </xdr:nvSpPr>
        <xdr:spPr>
          <a:xfrm>
            <a:off x="10378228" y="4395975"/>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O</a:t>
            </a:r>
          </a:p>
        </xdr:txBody>
      </xdr:sp>
      <xdr:sp macro="" textlink="">
        <xdr:nvSpPr>
          <xdr:cNvPr id="21" name="ZoneTexte 20"/>
          <xdr:cNvSpPr txBox="1"/>
        </xdr:nvSpPr>
        <xdr:spPr>
          <a:xfrm>
            <a:off x="10497376" y="171448"/>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Y</a:t>
            </a:r>
          </a:p>
        </xdr:txBody>
      </xdr:sp>
      <xdr:sp macro="" textlink="">
        <xdr:nvSpPr>
          <xdr:cNvPr id="22" name="ZoneTexte 21"/>
          <xdr:cNvSpPr txBox="1"/>
        </xdr:nvSpPr>
        <xdr:spPr>
          <a:xfrm>
            <a:off x="13930181" y="4063175"/>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X</a:t>
            </a:r>
          </a:p>
        </xdr:txBody>
      </xdr:sp>
      <xdr:sp macro="" textlink="">
        <xdr:nvSpPr>
          <xdr:cNvPr id="51" name="Ellipse 50"/>
          <xdr:cNvSpPr/>
        </xdr:nvSpPr>
        <xdr:spPr>
          <a:xfrm>
            <a:off x="9983851" y="1462236"/>
            <a:ext cx="190636" cy="190171"/>
          </a:xfrm>
          <a:prstGeom prst="ellipse">
            <a:avLst/>
          </a:prstGeom>
          <a:no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cxnSp macro="">
        <xdr:nvCxnSpPr>
          <xdr:cNvPr id="53" name="Connecteur droit avec flèche 52"/>
          <xdr:cNvCxnSpPr>
            <a:stCxn id="45" idx="3"/>
            <a:endCxn id="52" idx="7"/>
          </xdr:cNvCxnSpPr>
        </xdr:nvCxnSpPr>
        <xdr:spPr>
          <a:xfrm flipH="1" flipV="1">
            <a:off x="10188693" y="1448064"/>
            <a:ext cx="248604" cy="215725"/>
          </a:xfrm>
          <a:prstGeom prst="straightConnector1">
            <a:avLst/>
          </a:prstGeom>
          <a:ln>
            <a:solidFill>
              <a:schemeClr val="bg1">
                <a:lumMod val="50000"/>
              </a:schemeClr>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57" name="Connecteur droit avec flèche 56"/>
          <xdr:cNvCxnSpPr/>
        </xdr:nvCxnSpPr>
        <xdr:spPr>
          <a:xfrm flipH="1" flipV="1">
            <a:off x="10162456" y="1490086"/>
            <a:ext cx="2983457" cy="2063531"/>
          </a:xfrm>
          <a:prstGeom prst="straightConnector1">
            <a:avLst/>
          </a:prstGeom>
          <a:ln>
            <a:solidFill>
              <a:srgbClr val="0070C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sp macro="" textlink="">
        <xdr:nvSpPr>
          <xdr:cNvPr id="75" name="Ellipse 74"/>
          <xdr:cNvSpPr/>
        </xdr:nvSpPr>
        <xdr:spPr>
          <a:xfrm rot="20820000">
            <a:off x="10084771" y="1458331"/>
            <a:ext cx="45753" cy="45641"/>
          </a:xfrm>
          <a:prstGeom prst="ellipse">
            <a:avLst/>
          </a:prstGeom>
          <a:solidFill>
            <a:srgbClr val="0070C0"/>
          </a:solid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80" name="Ellipse 79"/>
          <xdr:cNvSpPr/>
        </xdr:nvSpPr>
        <xdr:spPr>
          <a:xfrm rot="20820000">
            <a:off x="10566814" y="4294711"/>
            <a:ext cx="45753" cy="45641"/>
          </a:xfrm>
          <a:prstGeom prst="ellipse">
            <a:avLst/>
          </a:prstGeom>
          <a:solidFill>
            <a:srgbClr val="0070C0"/>
          </a:solid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81" name="Ellipse 80"/>
          <xdr:cNvSpPr/>
        </xdr:nvSpPr>
        <xdr:spPr>
          <a:xfrm rot="20820000">
            <a:off x="13262363" y="3634553"/>
            <a:ext cx="45753" cy="45641"/>
          </a:xfrm>
          <a:prstGeom prst="ellipse">
            <a:avLst/>
          </a:prstGeom>
          <a:solidFill>
            <a:srgbClr val="0070C0"/>
          </a:solid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82" name="Trapèze 81"/>
          <xdr:cNvSpPr/>
        </xdr:nvSpPr>
        <xdr:spPr>
          <a:xfrm rot="15420000">
            <a:off x="10536324" y="4255707"/>
            <a:ext cx="104594" cy="114381"/>
          </a:xfrm>
          <a:prstGeom prst="trapezoid">
            <a:avLst/>
          </a:prstGeom>
          <a:no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83" name="Ellipse 82"/>
          <xdr:cNvSpPr/>
        </xdr:nvSpPr>
        <xdr:spPr>
          <a:xfrm rot="20820000">
            <a:off x="12156062" y="3890395"/>
            <a:ext cx="45753" cy="45641"/>
          </a:xfrm>
          <a:prstGeom prst="ellipse">
            <a:avLst/>
          </a:prstGeom>
          <a:solidFill>
            <a:srgbClr val="0070C0"/>
          </a:solid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sp macro="" textlink="">
        <xdr:nvSpPr>
          <xdr:cNvPr id="84" name="Rectangle 83"/>
          <xdr:cNvSpPr/>
        </xdr:nvSpPr>
        <xdr:spPr>
          <a:xfrm rot="20820000">
            <a:off x="10602697" y="3882979"/>
            <a:ext cx="3065832" cy="123610"/>
          </a:xfrm>
          <a:prstGeom prst="rect">
            <a:avLst/>
          </a:prstGeom>
          <a:noFill/>
          <a:ln w="9525">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xnSp macro="">
        <xdr:nvCxnSpPr>
          <xdr:cNvPr id="85" name="Connecteur droit avec flèche 84"/>
          <xdr:cNvCxnSpPr/>
        </xdr:nvCxnSpPr>
        <xdr:spPr>
          <a:xfrm rot="20820000" flipV="1">
            <a:off x="10501515" y="3381309"/>
            <a:ext cx="0" cy="1117605"/>
          </a:xfrm>
          <a:prstGeom prst="straightConnector1">
            <a:avLst/>
          </a:prstGeom>
          <a:ln w="3175">
            <a:solidFill>
              <a:schemeClr val="bg1">
                <a:lumMod val="7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86" name="Connecteur droit avec flèche 85"/>
          <xdr:cNvCxnSpPr/>
        </xdr:nvCxnSpPr>
        <xdr:spPr>
          <a:xfrm rot="20820000" flipV="1">
            <a:off x="10313858" y="3949395"/>
            <a:ext cx="3709230" cy="1"/>
          </a:xfrm>
          <a:prstGeom prst="straightConnector1">
            <a:avLst/>
          </a:prstGeom>
          <a:ln w="3175">
            <a:solidFill>
              <a:schemeClr val="bg1">
                <a:lumMod val="7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88" name="ZoneTexte 87"/>
          <xdr:cNvSpPr txBox="1"/>
        </xdr:nvSpPr>
        <xdr:spPr>
          <a:xfrm rot="20820000">
            <a:off x="10199094" y="3466384"/>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V</a:t>
            </a:r>
          </a:p>
        </xdr:txBody>
      </xdr:sp>
      <xdr:sp macro="" textlink="">
        <xdr:nvSpPr>
          <xdr:cNvPr id="89" name="ZoneTexte 88"/>
          <xdr:cNvSpPr txBox="1"/>
        </xdr:nvSpPr>
        <xdr:spPr>
          <a:xfrm rot="20820000">
            <a:off x="13805373" y="3296615"/>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T</a:t>
            </a:r>
          </a:p>
        </xdr:txBody>
      </xdr:sp>
      <xdr:sp macro="" textlink="">
        <xdr:nvSpPr>
          <xdr:cNvPr id="91" name="ZoneTexte 90"/>
          <xdr:cNvSpPr txBox="1"/>
        </xdr:nvSpPr>
        <xdr:spPr>
          <a:xfrm rot="20820000">
            <a:off x="12056312" y="3677029"/>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G</a:t>
            </a:r>
          </a:p>
        </xdr:txBody>
      </xdr:sp>
      <xdr:sp macro="" textlink="">
        <xdr:nvSpPr>
          <xdr:cNvPr id="133" name="ZoneTexte 132"/>
          <xdr:cNvSpPr txBox="1"/>
        </xdr:nvSpPr>
        <xdr:spPr>
          <a:xfrm>
            <a:off x="13275444" y="3409959"/>
            <a:ext cx="177702"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A</a:t>
            </a:r>
          </a:p>
        </xdr:txBody>
      </xdr:sp>
      <xdr:cxnSp macro="">
        <xdr:nvCxnSpPr>
          <xdr:cNvPr id="76" name="Connecteur droit avec flèche 75"/>
          <xdr:cNvCxnSpPr/>
        </xdr:nvCxnSpPr>
        <xdr:spPr>
          <a:xfrm flipH="1">
            <a:off x="12027720" y="2552969"/>
            <a:ext cx="482222" cy="216495"/>
          </a:xfrm>
          <a:prstGeom prst="straightConnector1">
            <a:avLst/>
          </a:prstGeom>
          <a:ln w="3175">
            <a:solidFill>
              <a:schemeClr val="bg1">
                <a:lumMod val="7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92" name="Connecteur droit avec flèche 91"/>
          <xdr:cNvCxnSpPr/>
        </xdr:nvCxnSpPr>
        <xdr:spPr>
          <a:xfrm flipV="1">
            <a:off x="9967202" y="1572994"/>
            <a:ext cx="104165" cy="484428"/>
          </a:xfrm>
          <a:prstGeom prst="straightConnector1">
            <a:avLst/>
          </a:prstGeom>
          <a:ln w="3175">
            <a:solidFill>
              <a:schemeClr val="bg1">
                <a:lumMod val="75000"/>
              </a:schemeClr>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94" name="Connecteur droit avec flèche 93"/>
          <xdr:cNvCxnSpPr/>
        </xdr:nvCxnSpPr>
        <xdr:spPr>
          <a:xfrm>
            <a:off x="12185849" y="3909074"/>
            <a:ext cx="0" cy="358949"/>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96" name="ZoneTexte 95"/>
          <xdr:cNvSpPr txBox="1"/>
        </xdr:nvSpPr>
        <xdr:spPr>
          <a:xfrm>
            <a:off x="11848505" y="4134490"/>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l-GR" sz="1000"/>
              <a:t>θ</a:t>
            </a:r>
            <a:endParaRPr lang="fr-FR" sz="1000"/>
          </a:p>
        </xdr:txBody>
      </xdr:sp>
      <xdr:sp macro="" textlink="">
        <xdr:nvSpPr>
          <xdr:cNvPr id="97" name="ZoneTexte 96"/>
          <xdr:cNvSpPr txBox="1"/>
        </xdr:nvSpPr>
        <xdr:spPr>
          <a:xfrm>
            <a:off x="12229777" y="4015633"/>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solidFill>
                  <a:srgbClr val="FF0000"/>
                </a:solidFill>
              </a:rPr>
              <a:t>P</a:t>
            </a:r>
          </a:p>
        </xdr:txBody>
      </xdr:sp>
      <xdr:sp macro="" textlink="">
        <xdr:nvSpPr>
          <xdr:cNvPr id="98" name="ZoneTexte 97"/>
          <xdr:cNvSpPr txBox="1"/>
        </xdr:nvSpPr>
        <xdr:spPr>
          <a:xfrm>
            <a:off x="10049382" y="1205505"/>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C</a:t>
            </a:r>
          </a:p>
        </xdr:txBody>
      </xdr:sp>
      <xdr:cxnSp macro="">
        <xdr:nvCxnSpPr>
          <xdr:cNvPr id="99" name="Connecteur droit avec flèche 98"/>
          <xdr:cNvCxnSpPr/>
        </xdr:nvCxnSpPr>
        <xdr:spPr>
          <a:xfrm flipH="1" flipV="1">
            <a:off x="12978618" y="3440516"/>
            <a:ext cx="293102" cy="207159"/>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101" name="ZoneTexte 100"/>
          <xdr:cNvSpPr txBox="1"/>
        </xdr:nvSpPr>
        <xdr:spPr>
          <a:xfrm>
            <a:off x="12966704" y="3290755"/>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solidFill>
                  <a:srgbClr val="FF0000"/>
                </a:solidFill>
              </a:rPr>
              <a:t>F</a:t>
            </a:r>
          </a:p>
        </xdr:txBody>
      </xdr:sp>
      <xdr:sp macro="" textlink="">
        <xdr:nvSpPr>
          <xdr:cNvPr id="102" name="ZoneTexte 101"/>
          <xdr:cNvSpPr txBox="1"/>
        </xdr:nvSpPr>
        <xdr:spPr>
          <a:xfrm>
            <a:off x="11419576" y="1253045"/>
            <a:ext cx="2141250" cy="744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solidFill>
                  <a:srgbClr val="0070C0"/>
                </a:solidFill>
              </a:rPr>
              <a:t>NOTA :</a:t>
            </a:r>
            <a:r>
              <a:rPr lang="fr-FR" sz="1000" baseline="0">
                <a:solidFill>
                  <a:srgbClr val="0070C0"/>
                </a:solidFill>
              </a:rPr>
              <a:t> d</a:t>
            </a:r>
            <a:r>
              <a:rPr lang="fr-FR" sz="1000">
                <a:solidFill>
                  <a:srgbClr val="0070C0"/>
                </a:solidFill>
              </a:rPr>
              <a:t>ans le calcul de </a:t>
            </a:r>
            <a:r>
              <a:rPr lang="fr-FR" sz="1000" baseline="0">
                <a:solidFill>
                  <a:srgbClr val="0070C0"/>
                </a:solidFill>
              </a:rPr>
              <a:t> F, il n'est pas tenu compte du déplacement  (faible dans le cas présent) du point C</a:t>
            </a:r>
            <a:endParaRPr lang="fr-FR" sz="1000">
              <a:solidFill>
                <a:srgbClr val="0070C0"/>
              </a:solidFill>
            </a:endParaRPr>
          </a:p>
        </xdr:txBody>
      </xdr:sp>
      <xdr:cxnSp macro="">
        <xdr:nvCxnSpPr>
          <xdr:cNvPr id="103" name="Connecteur droit avec flèche 102"/>
          <xdr:cNvCxnSpPr>
            <a:stCxn id="37" idx="5"/>
            <a:endCxn id="51" idx="6"/>
          </xdr:cNvCxnSpPr>
        </xdr:nvCxnSpPr>
        <xdr:spPr>
          <a:xfrm flipH="1" flipV="1">
            <a:off x="10174487" y="1557321"/>
            <a:ext cx="2903401" cy="3731048"/>
          </a:xfrm>
          <a:prstGeom prst="straightConnector1">
            <a:avLst/>
          </a:prstGeom>
          <a:ln>
            <a:solidFill>
              <a:schemeClr val="bg1">
                <a:lumMod val="65000"/>
              </a:schemeClr>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sp macro="" textlink="">
        <xdr:nvSpPr>
          <xdr:cNvPr id="107" name="Ellipse 106"/>
          <xdr:cNvSpPr/>
        </xdr:nvSpPr>
        <xdr:spPr>
          <a:xfrm>
            <a:off x="10007681" y="1486009"/>
            <a:ext cx="142976" cy="142627"/>
          </a:xfrm>
          <a:prstGeom prst="ellipse">
            <a:avLst/>
          </a:prstGeom>
          <a:no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grpSp>
        <xdr:nvGrpSpPr>
          <xdr:cNvPr id="9" name="Groupe 8"/>
          <xdr:cNvGrpSpPr/>
        </xdr:nvGrpSpPr>
        <xdr:grpSpPr>
          <a:xfrm>
            <a:off x="10320379" y="5621788"/>
            <a:ext cx="3709230" cy="329573"/>
            <a:chOff x="10339091" y="5631994"/>
            <a:chExt cx="3712632" cy="329573"/>
          </a:xfrm>
        </xdr:grpSpPr>
        <xdr:sp macro="" textlink="">
          <xdr:nvSpPr>
            <xdr:cNvPr id="90" name="ZoneTexte 89"/>
            <xdr:cNvSpPr txBox="1"/>
          </xdr:nvSpPr>
          <xdr:spPr>
            <a:xfrm>
              <a:off x="13308294" y="5809430"/>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S</a:t>
              </a:r>
            </a:p>
          </xdr:txBody>
        </xdr:sp>
        <xdr:sp macro="" textlink="">
          <xdr:nvSpPr>
            <xdr:cNvPr id="132" name="ZoneTexte 131"/>
            <xdr:cNvSpPr txBox="1"/>
          </xdr:nvSpPr>
          <xdr:spPr>
            <a:xfrm>
              <a:off x="11676273" y="5631994"/>
              <a:ext cx="181104" cy="152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Sol</a:t>
              </a:r>
            </a:p>
          </xdr:txBody>
        </xdr:sp>
        <xdr:cxnSp macro="">
          <xdr:nvCxnSpPr>
            <xdr:cNvPr id="127" name="Connecteur droit avec flèche 126"/>
            <xdr:cNvCxnSpPr/>
          </xdr:nvCxnSpPr>
          <xdr:spPr>
            <a:xfrm flipV="1">
              <a:off x="10339091" y="5763722"/>
              <a:ext cx="3712632" cy="1"/>
            </a:xfrm>
            <a:prstGeom prst="straightConnector1">
              <a:avLst/>
            </a:prstGeom>
            <a:ln>
              <a:solidFill>
                <a:schemeClr val="accent2">
                  <a:lumMod val="75000"/>
                </a:schemeClr>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sp macro="" textlink="">
          <xdr:nvSpPr>
            <xdr:cNvPr id="128" name="Ellipse 127"/>
            <xdr:cNvSpPr/>
          </xdr:nvSpPr>
          <xdr:spPr>
            <a:xfrm rot="1424032">
              <a:off x="13350718" y="5751499"/>
              <a:ext cx="45753" cy="45641"/>
            </a:xfrm>
            <a:prstGeom prst="ellipse">
              <a:avLst/>
            </a:prstGeom>
            <a:solidFill>
              <a:schemeClr val="bg1">
                <a:lumMod val="50000"/>
              </a:schemeClr>
            </a:solidFill>
            <a:ln w="952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lang="fr-FR" sz="1100"/>
            </a:p>
          </xdr:txBody>
        </xdr:sp>
      </xdr:grpSp>
      <xdr:cxnSp macro="">
        <xdr:nvCxnSpPr>
          <xdr:cNvPr id="135" name="Connecteur droit avec flèche 134"/>
          <xdr:cNvCxnSpPr/>
        </xdr:nvCxnSpPr>
        <xdr:spPr>
          <a:xfrm flipV="1">
            <a:off x="10592693" y="4117850"/>
            <a:ext cx="290719" cy="178286"/>
          </a:xfrm>
          <a:prstGeom prst="straightConnector1">
            <a:avLst/>
          </a:prstGeom>
          <a:ln>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sp macro="" textlink="">
        <xdr:nvSpPr>
          <xdr:cNvPr id="137" name="ZoneTexte 136"/>
          <xdr:cNvSpPr txBox="1"/>
        </xdr:nvSpPr>
        <xdr:spPr>
          <a:xfrm>
            <a:off x="10823839" y="3979974"/>
            <a:ext cx="262124" cy="137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solidFill>
                  <a:srgbClr val="FF0000"/>
                </a:solidFill>
              </a:rPr>
              <a:t>Ro</a:t>
            </a:r>
          </a:p>
        </xdr:txBody>
      </xdr:sp>
      <xdr:sp macro="" textlink="">
        <xdr:nvSpPr>
          <xdr:cNvPr id="74" name="ZoneTexte 73"/>
          <xdr:cNvSpPr txBox="1"/>
        </xdr:nvSpPr>
        <xdr:spPr>
          <a:xfrm>
            <a:off x="12444242" y="2465389"/>
            <a:ext cx="774459" cy="1616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Sangle</a:t>
            </a:r>
          </a:p>
        </xdr:txBody>
      </xdr:sp>
      <xdr:sp macro="" textlink="">
        <xdr:nvSpPr>
          <xdr:cNvPr id="95" name="ZoneTexte 94"/>
          <xdr:cNvSpPr txBox="1"/>
        </xdr:nvSpPr>
        <xdr:spPr>
          <a:xfrm>
            <a:off x="9620451" y="2096932"/>
            <a:ext cx="774459" cy="1616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fr-FR" sz="1000"/>
              <a:t>Treuil</a:t>
            </a:r>
          </a:p>
        </xdr:txBody>
      </xdr:sp>
      <xdr:sp macro="" textlink="">
        <xdr:nvSpPr>
          <xdr:cNvPr id="100" name="Forme libre 99"/>
          <xdr:cNvSpPr/>
        </xdr:nvSpPr>
        <xdr:spPr>
          <a:xfrm rot="1440000">
            <a:off x="13166611" y="5609547"/>
            <a:ext cx="210911" cy="129268"/>
          </a:xfrm>
          <a:custGeom>
            <a:avLst/>
            <a:gdLst>
              <a:gd name="connsiteX0" fmla="*/ 210911 w 210911"/>
              <a:gd name="connsiteY0" fmla="*/ 0 h 108857"/>
              <a:gd name="connsiteX1" fmla="*/ 210911 w 210911"/>
              <a:gd name="connsiteY1" fmla="*/ 102053 h 108857"/>
              <a:gd name="connsiteX2" fmla="*/ 122465 w 210911"/>
              <a:gd name="connsiteY2" fmla="*/ 108857 h 108857"/>
              <a:gd name="connsiteX3" fmla="*/ 0 w 210911"/>
              <a:gd name="connsiteY3" fmla="*/ 0 h 108857"/>
              <a:gd name="connsiteX0" fmla="*/ 210911 w 210911"/>
              <a:gd name="connsiteY0" fmla="*/ 0 h 129268"/>
              <a:gd name="connsiteX1" fmla="*/ 210911 w 210911"/>
              <a:gd name="connsiteY1" fmla="*/ 102053 h 129268"/>
              <a:gd name="connsiteX2" fmla="*/ 122465 w 210911"/>
              <a:gd name="connsiteY2" fmla="*/ 129268 h 129268"/>
              <a:gd name="connsiteX3" fmla="*/ 0 w 210911"/>
              <a:gd name="connsiteY3" fmla="*/ 0 h 129268"/>
            </a:gdLst>
            <a:ahLst/>
            <a:cxnLst>
              <a:cxn ang="0">
                <a:pos x="connsiteX0" y="connsiteY0"/>
              </a:cxn>
              <a:cxn ang="0">
                <a:pos x="connsiteX1" y="connsiteY1"/>
              </a:cxn>
              <a:cxn ang="0">
                <a:pos x="connsiteX2" y="connsiteY2"/>
              </a:cxn>
              <a:cxn ang="0">
                <a:pos x="connsiteX3" y="connsiteY3"/>
              </a:cxn>
            </a:cxnLst>
            <a:rect l="l" t="t" r="r" b="b"/>
            <a:pathLst>
              <a:path w="210911" h="129268">
                <a:moveTo>
                  <a:pt x="210911" y="0"/>
                </a:moveTo>
                <a:lnTo>
                  <a:pt x="210911" y="102053"/>
                </a:lnTo>
                <a:lnTo>
                  <a:pt x="122465" y="129268"/>
                </a:lnTo>
                <a:lnTo>
                  <a:pt x="0" y="0"/>
                </a:lnTo>
              </a:path>
            </a:pathLst>
          </a:custGeom>
          <a:noFill/>
          <a:ln w="190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0</xdr:row>
      <xdr:rowOff>171450</xdr:rowOff>
    </xdr:from>
    <xdr:to>
      <xdr:col>9</xdr:col>
      <xdr:colOff>677984</xdr:colOff>
      <xdr:row>53</xdr:row>
      <xdr:rowOff>133350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8600" y="171450"/>
          <a:ext cx="7307384" cy="100584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70C0"/>
          </a:solidFill>
        </a:ln>
      </a:spPr>
      <a:bodyPr vertOverflow="clip" horzOverflow="clip" rtlCol="0" anchor="t"/>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69"/>
  <sheetViews>
    <sheetView showGridLines="0" tabSelected="1" zoomScale="80" zoomScaleNormal="80" workbookViewId="0">
      <selection activeCell="M23" sqref="M23"/>
    </sheetView>
  </sheetViews>
  <sheetFormatPr baseColWidth="10" defaultRowHeight="15" x14ac:dyDescent="0.25"/>
  <cols>
    <col min="1" max="1" width="5.5703125" customWidth="1"/>
    <col min="2" max="2" width="5.7109375" customWidth="1"/>
    <col min="8" max="9" width="11.5703125" customWidth="1"/>
    <col min="10" max="10" width="13.7109375" customWidth="1"/>
    <col min="12" max="12" width="13.7109375" customWidth="1"/>
    <col min="13" max="14" width="11.42578125" customWidth="1"/>
    <col min="17" max="17" width="12.140625" customWidth="1"/>
    <col min="18" max="18" width="12.5703125" customWidth="1"/>
    <col min="19" max="19" width="10.85546875" customWidth="1"/>
    <col min="20" max="20" width="13.28515625" customWidth="1"/>
  </cols>
  <sheetData>
    <row r="2" spans="1:24" x14ac:dyDescent="0.25">
      <c r="C2" s="5" t="s">
        <v>22</v>
      </c>
    </row>
    <row r="3" spans="1:24" x14ac:dyDescent="0.25">
      <c r="A3" s="1"/>
      <c r="B3" s="1"/>
      <c r="C3" s="1"/>
      <c r="D3" s="1"/>
      <c r="E3" s="1"/>
      <c r="F3" s="1"/>
      <c r="G3" s="1"/>
      <c r="H3" s="1"/>
      <c r="I3" s="1"/>
    </row>
    <row r="4" spans="1:24" x14ac:dyDescent="0.25">
      <c r="A4" s="1"/>
      <c r="B4" s="1"/>
      <c r="C4" s="33" t="s">
        <v>3</v>
      </c>
      <c r="D4" s="33"/>
      <c r="E4" s="33"/>
      <c r="F4" s="1"/>
      <c r="G4" s="34" t="s">
        <v>14</v>
      </c>
      <c r="H4" s="35"/>
      <c r="I4" s="1"/>
      <c r="J4" s="9" t="s">
        <v>5</v>
      </c>
      <c r="K4" s="9" t="s">
        <v>34</v>
      </c>
      <c r="L4" s="9" t="s">
        <v>70</v>
      </c>
      <c r="M4" s="9" t="s">
        <v>69</v>
      </c>
      <c r="T4" s="33" t="s">
        <v>39</v>
      </c>
      <c r="U4" s="33"/>
      <c r="V4" s="33"/>
      <c r="W4" s="33"/>
      <c r="X4" s="33"/>
    </row>
    <row r="5" spans="1:24" x14ac:dyDescent="0.25">
      <c r="A5" s="1"/>
      <c r="B5" s="1"/>
      <c r="C5" s="6" t="s">
        <v>0</v>
      </c>
      <c r="D5" s="6" t="s">
        <v>1</v>
      </c>
      <c r="E5" s="6" t="s">
        <v>2</v>
      </c>
      <c r="F5" s="1"/>
      <c r="G5" s="6" t="s">
        <v>7</v>
      </c>
      <c r="H5" s="6" t="s">
        <v>28</v>
      </c>
      <c r="I5" s="1"/>
      <c r="J5" s="6" t="s">
        <v>4</v>
      </c>
      <c r="K5" s="6" t="s">
        <v>67</v>
      </c>
      <c r="L5" s="6" t="s">
        <v>50</v>
      </c>
      <c r="M5" s="6" t="s">
        <v>43</v>
      </c>
      <c r="T5" s="6" t="s">
        <v>21</v>
      </c>
      <c r="U5" s="6" t="s">
        <v>21</v>
      </c>
      <c r="V5" s="6" t="s">
        <v>40</v>
      </c>
      <c r="W5" s="6" t="s">
        <v>41</v>
      </c>
      <c r="X5" s="6" t="s">
        <v>37</v>
      </c>
    </row>
    <row r="6" spans="1:24" x14ac:dyDescent="0.25">
      <c r="A6" s="1"/>
      <c r="C6" s="6" t="s">
        <v>11</v>
      </c>
      <c r="D6" s="6" t="s">
        <v>11</v>
      </c>
      <c r="E6" s="6" t="s">
        <v>11</v>
      </c>
      <c r="F6" s="1"/>
      <c r="G6" s="6" t="s">
        <v>11</v>
      </c>
      <c r="H6" s="6" t="s">
        <v>11</v>
      </c>
      <c r="I6" s="1"/>
      <c r="J6" s="6" t="s">
        <v>6</v>
      </c>
      <c r="K6" s="6" t="s">
        <v>11</v>
      </c>
      <c r="L6" s="6" t="s">
        <v>49</v>
      </c>
      <c r="M6" s="6" t="s">
        <v>11</v>
      </c>
      <c r="T6" s="6" t="s">
        <v>20</v>
      </c>
      <c r="U6" s="6" t="s">
        <v>19</v>
      </c>
      <c r="V6" s="6" t="s">
        <v>11</v>
      </c>
      <c r="W6" s="6" t="s">
        <v>11</v>
      </c>
      <c r="X6" s="6" t="s">
        <v>11</v>
      </c>
    </row>
    <row r="7" spans="1:24" x14ac:dyDescent="0.25">
      <c r="A7" s="1"/>
      <c r="B7" s="1" t="s">
        <v>9</v>
      </c>
      <c r="C7" s="7">
        <v>1430</v>
      </c>
      <c r="D7" s="7">
        <v>1700</v>
      </c>
      <c r="E7" s="7">
        <v>850</v>
      </c>
      <c r="F7" s="4" t="s">
        <v>12</v>
      </c>
      <c r="G7" s="10">
        <f>SQRT(Tb^2-Ys^2)</f>
        <v>1540</v>
      </c>
      <c r="H7" s="13">
        <v>-200</v>
      </c>
      <c r="I7" s="2"/>
      <c r="J7" s="8">
        <v>100</v>
      </c>
      <c r="K7" s="8">
        <v>80</v>
      </c>
      <c r="L7" s="8">
        <v>40</v>
      </c>
      <c r="M7" s="8">
        <v>2.5</v>
      </c>
      <c r="T7" s="11">
        <f>ASIN(Ys/Tb)-ATAN2(Tb,Vb)</f>
        <v>-0.3844460928821638</v>
      </c>
      <c r="U7" s="16">
        <f>DEGREES(θmin)</f>
        <v>-22.027138572442425</v>
      </c>
      <c r="V7" s="19">
        <f>Ta*COS(θmin)-Va*SIN(θmin)</f>
        <v>1325.6190309714007</v>
      </c>
      <c r="W7" s="19">
        <f>Ta*SIN(θmin)+Va*COS(θmin)</f>
        <v>-536.31537804396828</v>
      </c>
      <c r="X7" s="19">
        <f>SQRT((Xao-Xc)^2+(Yao-Yc)^2)</f>
        <v>2625.1393909903641</v>
      </c>
    </row>
    <row r="8" spans="1:24" x14ac:dyDescent="0.25">
      <c r="A8" s="1"/>
      <c r="B8" s="1" t="s">
        <v>10</v>
      </c>
      <c r="C8" s="8">
        <v>0</v>
      </c>
      <c r="D8" s="8">
        <v>-90</v>
      </c>
      <c r="E8" s="8">
        <v>12</v>
      </c>
      <c r="F8" s="4" t="s">
        <v>13</v>
      </c>
      <c r="G8" s="8">
        <v>-720</v>
      </c>
      <c r="H8" s="8">
        <v>1600</v>
      </c>
      <c r="I8" s="3"/>
      <c r="K8" s="47" t="s">
        <v>38</v>
      </c>
    </row>
    <row r="9" spans="1:24" x14ac:dyDescent="0.25">
      <c r="A9" s="1"/>
      <c r="B9" s="1"/>
      <c r="C9" s="1"/>
      <c r="D9" s="1"/>
      <c r="E9" s="1"/>
      <c r="F9" s="1"/>
      <c r="G9" s="1"/>
      <c r="H9" s="1"/>
      <c r="K9" s="48"/>
      <c r="R9" s="12"/>
      <c r="S9" s="12"/>
      <c r="T9" s="9" t="s">
        <v>15</v>
      </c>
      <c r="U9" s="9" t="s">
        <v>52</v>
      </c>
      <c r="V9" s="9" t="s">
        <v>56</v>
      </c>
      <c r="W9" s="9" t="s">
        <v>58</v>
      </c>
      <c r="X9" s="9" t="s">
        <v>60</v>
      </c>
    </row>
    <row r="10" spans="1:24" x14ac:dyDescent="0.25">
      <c r="A10" s="1"/>
      <c r="B10" s="1"/>
      <c r="C10" s="1"/>
      <c r="D10" s="1"/>
      <c r="E10" s="1"/>
      <c r="F10" s="1"/>
      <c r="G10" s="1"/>
      <c r="H10" s="1"/>
      <c r="K10" s="49"/>
      <c r="R10" s="17"/>
      <c r="S10" s="17"/>
      <c r="T10" s="6" t="s">
        <v>17</v>
      </c>
      <c r="U10" s="21" t="s">
        <v>54</v>
      </c>
      <c r="V10" s="21" t="s">
        <v>57</v>
      </c>
      <c r="W10" s="21" t="s">
        <v>59</v>
      </c>
      <c r="X10" s="21" t="s">
        <v>61</v>
      </c>
    </row>
    <row r="11" spans="1:24" x14ac:dyDescent="0.25">
      <c r="A11" s="1"/>
      <c r="B11" s="1"/>
      <c r="C11" s="1"/>
      <c r="D11" s="1"/>
      <c r="E11" s="1"/>
      <c r="F11" s="1"/>
      <c r="G11" s="1"/>
      <c r="H11" s="1"/>
      <c r="R11" s="18"/>
      <c r="S11" s="18"/>
      <c r="T11" s="6" t="s">
        <v>16</v>
      </c>
      <c r="U11" s="6" t="s">
        <v>53</v>
      </c>
      <c r="V11" s="6" t="s">
        <v>11</v>
      </c>
      <c r="W11" s="6" t="s">
        <v>11</v>
      </c>
      <c r="X11" s="6" t="s">
        <v>62</v>
      </c>
    </row>
    <row r="12" spans="1:24" x14ac:dyDescent="0.25">
      <c r="A12" s="1"/>
      <c r="B12" s="1"/>
      <c r="C12" s="1"/>
      <c r="D12" s="1"/>
      <c r="E12" s="1"/>
      <c r="F12" s="1"/>
      <c r="G12" s="1"/>
      <c r="H12" s="1"/>
      <c r="R12" s="18"/>
      <c r="S12" s="18"/>
      <c r="T12" s="11">
        <f>-M*9.81</f>
        <v>-981</v>
      </c>
      <c r="U12" s="11">
        <f>PI()*n/30</f>
        <v>4.1887902047863905</v>
      </c>
      <c r="V12" s="16">
        <f>Dt+MAX(Nt)*e</f>
        <v>98.992695842977497</v>
      </c>
      <c r="W12" s="16">
        <f>PI()*Dm</f>
        <v>310.99472601934696</v>
      </c>
      <c r="X12" s="16">
        <f>MAX(Le)*60/(Lm*n)</f>
        <v>11.395617505786497</v>
      </c>
    </row>
    <row r="13" spans="1:24" x14ac:dyDescent="0.25">
      <c r="A13" s="1"/>
      <c r="B13" s="1"/>
      <c r="C13" s="1"/>
      <c r="D13" s="1"/>
      <c r="E13" s="1"/>
      <c r="F13" s="1"/>
      <c r="G13" s="1"/>
      <c r="H13" s="1"/>
      <c r="R13" s="18"/>
      <c r="S13" s="18"/>
      <c r="T13" s="1"/>
    </row>
    <row r="14" spans="1:24" x14ac:dyDescent="0.25">
      <c r="A14" s="1"/>
      <c r="B14" s="1"/>
      <c r="C14" s="1"/>
      <c r="D14" s="1"/>
      <c r="E14" s="1"/>
      <c r="F14" s="1"/>
      <c r="G14" s="1"/>
      <c r="H14" s="1"/>
      <c r="K14" s="22" t="s">
        <v>68</v>
      </c>
      <c r="L14" s="23">
        <f>ROUNDUP(MAX(Pu),0)</f>
        <v>165</v>
      </c>
      <c r="M14" t="s">
        <v>63</v>
      </c>
      <c r="R14" s="20"/>
      <c r="S14" s="18"/>
      <c r="T14" s="1"/>
    </row>
    <row r="15" spans="1:24" x14ac:dyDescent="0.25">
      <c r="A15" s="1"/>
      <c r="B15" s="1"/>
      <c r="C15" s="1"/>
      <c r="D15" s="1"/>
      <c r="E15" s="1"/>
      <c r="F15" s="1"/>
      <c r="G15" s="1"/>
      <c r="H15" s="1"/>
      <c r="K15" s="22" t="s">
        <v>65</v>
      </c>
      <c r="L15" s="23">
        <f>ROUNDUP(t,0)</f>
        <v>12</v>
      </c>
      <c r="M15" t="s">
        <v>64</v>
      </c>
      <c r="R15" s="1"/>
      <c r="S15" s="1"/>
      <c r="T15" s="1"/>
    </row>
    <row r="16" spans="1:24" x14ac:dyDescent="0.25">
      <c r="A16" s="1"/>
      <c r="B16" s="1"/>
      <c r="C16" s="1"/>
      <c r="D16" s="1"/>
      <c r="E16" s="1"/>
      <c r="F16" s="1"/>
      <c r="G16" s="1"/>
      <c r="H16" s="1"/>
      <c r="R16" s="1"/>
      <c r="S16" s="1"/>
      <c r="T16" s="1"/>
    </row>
    <row r="17" spans="2:21" x14ac:dyDescent="0.25">
      <c r="J17" s="32" t="s">
        <v>66</v>
      </c>
      <c r="R17" s="1"/>
      <c r="S17" s="1"/>
      <c r="T17" s="1"/>
      <c r="U17" s="1"/>
    </row>
    <row r="18" spans="2:21" x14ac:dyDescent="0.25">
      <c r="R18" s="1"/>
      <c r="S18" s="1"/>
      <c r="T18" s="1"/>
      <c r="U18" s="1"/>
    </row>
    <row r="19" spans="2:21" ht="15.75" thickBot="1" x14ac:dyDescent="0.3">
      <c r="R19" s="1"/>
      <c r="S19" s="1"/>
      <c r="T19" s="1"/>
      <c r="U19" s="1"/>
    </row>
    <row r="20" spans="2:21" x14ac:dyDescent="0.25">
      <c r="F20" s="36" t="s">
        <v>33</v>
      </c>
      <c r="G20" s="37"/>
      <c r="H20" s="37"/>
      <c r="I20" s="37"/>
      <c r="J20" s="38"/>
    </row>
    <row r="21" spans="2:21" x14ac:dyDescent="0.25">
      <c r="F21" s="39"/>
      <c r="G21" s="40"/>
      <c r="H21" s="40"/>
      <c r="I21" s="40"/>
      <c r="J21" s="41"/>
    </row>
    <row r="22" spans="2:21" x14ac:dyDescent="0.25">
      <c r="F22" s="39"/>
      <c r="G22" s="40"/>
      <c r="H22" s="40"/>
      <c r="I22" s="40"/>
      <c r="J22" s="41"/>
    </row>
    <row r="23" spans="2:21" x14ac:dyDescent="0.25">
      <c r="F23" s="39"/>
      <c r="G23" s="40"/>
      <c r="H23" s="40"/>
      <c r="I23" s="40"/>
      <c r="J23" s="41"/>
    </row>
    <row r="24" spans="2:21" x14ac:dyDescent="0.25">
      <c r="F24" s="39"/>
      <c r="G24" s="40"/>
      <c r="H24" s="40"/>
      <c r="I24" s="40"/>
      <c r="J24" s="41"/>
    </row>
    <row r="25" spans="2:21" x14ac:dyDescent="0.25">
      <c r="F25" s="42"/>
      <c r="G25" s="43"/>
      <c r="H25" s="43"/>
      <c r="I25" s="43"/>
      <c r="J25" s="41"/>
    </row>
    <row r="26" spans="2:21" x14ac:dyDescent="0.25">
      <c r="F26" s="42"/>
      <c r="G26" s="43"/>
      <c r="H26" s="43"/>
      <c r="I26" s="43"/>
      <c r="J26" s="41"/>
    </row>
    <row r="27" spans="2:21" x14ac:dyDescent="0.25">
      <c r="F27" s="42"/>
      <c r="G27" s="43"/>
      <c r="H27" s="43"/>
      <c r="I27" s="43"/>
      <c r="J27" s="41"/>
    </row>
    <row r="28" spans="2:21" x14ac:dyDescent="0.25">
      <c r="F28" s="42"/>
      <c r="G28" s="43"/>
      <c r="H28" s="43"/>
      <c r="I28" s="43"/>
      <c r="J28" s="41"/>
    </row>
    <row r="29" spans="2:21" ht="15.75" thickBot="1" x14ac:dyDescent="0.3">
      <c r="F29" s="44"/>
      <c r="G29" s="45"/>
      <c r="H29" s="45"/>
      <c r="I29" s="45"/>
      <c r="J29" s="46"/>
    </row>
    <row r="30" spans="2:21" x14ac:dyDescent="0.25">
      <c r="B30" s="1"/>
      <c r="C30" s="1"/>
      <c r="D30" s="1"/>
      <c r="E30" s="1"/>
      <c r="F30" s="1"/>
      <c r="G30" s="1"/>
    </row>
    <row r="31" spans="2:21" x14ac:dyDescent="0.25">
      <c r="B31" s="1"/>
      <c r="C31" s="1"/>
      <c r="D31" s="1"/>
      <c r="E31" s="1"/>
      <c r="F31" s="1"/>
      <c r="G31" s="1"/>
    </row>
    <row r="32" spans="2:21" x14ac:dyDescent="0.25">
      <c r="B32" s="1"/>
      <c r="C32" s="1"/>
      <c r="D32" s="1"/>
      <c r="E32" s="1"/>
      <c r="F32" s="1"/>
      <c r="G32" s="1"/>
      <c r="H32" s="1"/>
      <c r="I32" s="1"/>
      <c r="J32" s="1"/>
      <c r="K32" s="1"/>
    </row>
    <row r="33" spans="2:20" x14ac:dyDescent="0.25">
      <c r="B33" s="1"/>
      <c r="C33" s="24" t="s">
        <v>18</v>
      </c>
      <c r="D33" s="24" t="s">
        <v>18</v>
      </c>
      <c r="E33" s="9" t="s">
        <v>23</v>
      </c>
      <c r="F33" s="9" t="s">
        <v>24</v>
      </c>
      <c r="G33" s="9" t="s">
        <v>25</v>
      </c>
      <c r="H33" s="9" t="s">
        <v>26</v>
      </c>
      <c r="I33" s="9" t="s">
        <v>27</v>
      </c>
      <c r="J33" s="9" t="s">
        <v>29</v>
      </c>
      <c r="K33" s="9" t="s">
        <v>30</v>
      </c>
      <c r="L33" s="9" t="s">
        <v>31</v>
      </c>
      <c r="M33" s="9" t="s">
        <v>32</v>
      </c>
      <c r="N33" s="9" t="s">
        <v>42</v>
      </c>
      <c r="O33" s="9" t="s">
        <v>35</v>
      </c>
      <c r="P33" s="9" t="s">
        <v>36</v>
      </c>
      <c r="Q33" s="9" t="s">
        <v>44</v>
      </c>
      <c r="R33" s="25" t="s">
        <v>47</v>
      </c>
      <c r="S33" s="25" t="s">
        <v>45</v>
      </c>
      <c r="T33" s="25" t="s">
        <v>55</v>
      </c>
    </row>
    <row r="34" spans="2:20" x14ac:dyDescent="0.25">
      <c r="B34" s="1"/>
      <c r="C34" s="6" t="s">
        <v>19</v>
      </c>
      <c r="D34" s="6" t="s">
        <v>20</v>
      </c>
      <c r="E34" s="6" t="s">
        <v>11</v>
      </c>
      <c r="F34" s="6" t="s">
        <v>11</v>
      </c>
      <c r="G34" s="6" t="s">
        <v>11</v>
      </c>
      <c r="H34" s="6" t="s">
        <v>11</v>
      </c>
      <c r="I34" s="14" t="s">
        <v>8</v>
      </c>
      <c r="J34" s="6" t="s">
        <v>16</v>
      </c>
      <c r="K34" s="6" t="s">
        <v>16</v>
      </c>
      <c r="L34" s="6" t="s">
        <v>16</v>
      </c>
      <c r="M34" s="6" t="s">
        <v>16</v>
      </c>
      <c r="N34" s="6" t="s">
        <v>11</v>
      </c>
      <c r="O34" s="6" t="s">
        <v>11</v>
      </c>
      <c r="P34" s="14" t="s">
        <v>8</v>
      </c>
      <c r="Q34" s="6" t="s">
        <v>48</v>
      </c>
      <c r="R34" s="26" t="s">
        <v>16</v>
      </c>
      <c r="S34" s="26" t="s">
        <v>46</v>
      </c>
      <c r="T34" s="26" t="s">
        <v>51</v>
      </c>
    </row>
    <row r="35" spans="2:20" x14ac:dyDescent="0.25">
      <c r="B35" s="1"/>
      <c r="C35" s="27">
        <f>θminDeg</f>
        <v>-22.027138572442425</v>
      </c>
      <c r="D35" s="6">
        <f t="shared" ref="D35:D58" si="0">RADIANS(θdeg)</f>
        <v>-0.3844460928821638</v>
      </c>
      <c r="E35" s="28">
        <f t="shared" ref="E35:E58" si="1">Ta*COS(θ)-Va*SIN(θ)</f>
        <v>1325.6190309714007</v>
      </c>
      <c r="F35" s="28">
        <f>Ta*SIN(θ)+Va*COS(θ)</f>
        <v>-536.31537804396828</v>
      </c>
      <c r="G35" s="28">
        <f t="shared" ref="G35:G58" si="2">Tg*COS(θ)-Vg*SIN(θ)</f>
        <v>792.45591668686586</v>
      </c>
      <c r="H35" s="28">
        <f t="shared" ref="H35:H58" si="3">Tg*SIN(θ)+Vg*COS(θ)</f>
        <v>-307.66478529071065</v>
      </c>
      <c r="I35" s="6">
        <f t="shared" ref="I35:I58" si="4">(Yc-Ya)/(Xc-Xa)</f>
        <v>-1.4002941328568259</v>
      </c>
      <c r="J35" s="28">
        <f t="shared" ref="J35:J58" si="5">(-Xg*P)/(k*Xa-Ya)</f>
        <v>-588.96507656509357</v>
      </c>
      <c r="K35" s="28">
        <f t="shared" ref="K35:K58" si="6">k*Xf</f>
        <v>824.72434117167177</v>
      </c>
      <c r="L35" s="28">
        <f t="shared" ref="L35:L58" si="7">-Xf</f>
        <v>588.96507656509357</v>
      </c>
      <c r="M35" s="28">
        <f t="shared" ref="M35:M58" si="8">-P-Yf</f>
        <v>156.27565882832823</v>
      </c>
      <c r="N35" s="28">
        <f t="shared" ref="N35:N58" si="9">SQRT((Xa-Xc)^2+(Ya-Yc)^2)</f>
        <v>2625.1393909903641</v>
      </c>
      <c r="O35" s="28">
        <f t="shared" ref="O35:O58" si="10">CAmax-CA</f>
        <v>0</v>
      </c>
      <c r="P35" s="28">
        <f t="shared" ref="P35:P58" si="11">(-Dt+SQRT(Dt^2+4*e*Le/PI()))/(2*e)</f>
        <v>0</v>
      </c>
      <c r="Q35" s="29">
        <f t="shared" ref="Q35:Q58" si="12">(Dt+e*(2*Nt-1))/2000</f>
        <v>3.875E-2</v>
      </c>
      <c r="R35" s="28">
        <f t="shared" ref="R35:R58" si="13">SQRT(Xf^2+Yf^2)</f>
        <v>1013.4348031986934</v>
      </c>
      <c r="S35" s="28">
        <f t="shared" ref="S35:S58" si="14">Re*F</f>
        <v>39.270598623949368</v>
      </c>
      <c r="T35" s="28">
        <f t="shared" ref="T35:T58" si="15">C_*ω</f>
        <v>164.49629885209703</v>
      </c>
    </row>
    <row r="36" spans="2:20" x14ac:dyDescent="0.25">
      <c r="B36" s="1"/>
      <c r="C36" s="6">
        <f t="shared" ref="C36:C57" si="16">C35+($C$58-$C$35)/23</f>
        <v>-17.156393417118842</v>
      </c>
      <c r="D36" s="6">
        <f t="shared" si="0"/>
        <v>-0.29943555289620466</v>
      </c>
      <c r="E36" s="28">
        <f t="shared" si="1"/>
        <v>1366.3694937123064</v>
      </c>
      <c r="F36" s="28">
        <f t="shared" ref="F36:F58" si="17">Ta*SIN(θ)+Va*COS(θ)</f>
        <v>-421.82271945969831</v>
      </c>
      <c r="G36" s="28">
        <f t="shared" si="2"/>
        <v>815.7174421601236</v>
      </c>
      <c r="H36" s="28">
        <f t="shared" si="3"/>
        <v>-239.26774658475233</v>
      </c>
      <c r="I36" s="6">
        <f t="shared" si="4"/>
        <v>-1.2907699796093224</v>
      </c>
      <c r="J36" s="28">
        <f t="shared" si="5"/>
        <v>-596.35666710416683</v>
      </c>
      <c r="K36" s="28">
        <f t="shared" si="6"/>
        <v>769.75928303792887</v>
      </c>
      <c r="L36" s="28">
        <f t="shared" si="7"/>
        <v>596.35666710416683</v>
      </c>
      <c r="M36" s="28">
        <f t="shared" si="8"/>
        <v>211.24071696207113</v>
      </c>
      <c r="N36" s="28">
        <f t="shared" si="9"/>
        <v>2557.5927157692558</v>
      </c>
      <c r="O36" s="28">
        <f t="shared" si="10"/>
        <v>67.546675221108217</v>
      </c>
      <c r="P36" s="28">
        <f t="shared" si="11"/>
        <v>0.26653957671052242</v>
      </c>
      <c r="Q36" s="29">
        <f t="shared" si="12"/>
        <v>3.9416348941776307E-2</v>
      </c>
      <c r="R36" s="28">
        <f t="shared" si="13"/>
        <v>973.74053434303357</v>
      </c>
      <c r="S36" s="28">
        <f t="shared" si="14"/>
        <v>38.381296680416725</v>
      </c>
      <c r="T36" s="28">
        <f t="shared" si="15"/>
        <v>160.77119958192998</v>
      </c>
    </row>
    <row r="37" spans="2:20" x14ac:dyDescent="0.25">
      <c r="B37" s="1"/>
      <c r="C37" s="6">
        <f t="shared" si="16"/>
        <v>-12.285648261795259</v>
      </c>
      <c r="D37" s="6">
        <f t="shared" si="0"/>
        <v>-0.21442501291024554</v>
      </c>
      <c r="E37" s="28">
        <f t="shared" si="1"/>
        <v>1397.2514337465325</v>
      </c>
      <c r="F37" s="28">
        <f t="shared" si="17"/>
        <v>-304.28347127844347</v>
      </c>
      <c r="G37" s="28">
        <f t="shared" si="2"/>
        <v>833.08749674118451</v>
      </c>
      <c r="H37" s="28">
        <f t="shared" si="3"/>
        <v>-169.14261075644657</v>
      </c>
      <c r="I37" s="6">
        <f t="shared" si="4"/>
        <v>-1.1922252383344134</v>
      </c>
      <c r="J37" s="28">
        <f t="shared" si="5"/>
        <v>-600.23933143695263</v>
      </c>
      <c r="K37" s="28">
        <f t="shared" si="6"/>
        <v>715.62047998010985</v>
      </c>
      <c r="L37" s="28">
        <f t="shared" si="7"/>
        <v>600.23933143695263</v>
      </c>
      <c r="M37" s="28">
        <f t="shared" si="8"/>
        <v>265.37952001989015</v>
      </c>
      <c r="N37" s="28">
        <f t="shared" si="9"/>
        <v>2485.4592496336832</v>
      </c>
      <c r="O37" s="28">
        <f t="shared" si="10"/>
        <v>139.68014135668091</v>
      </c>
      <c r="P37" s="28">
        <f t="shared" si="11"/>
        <v>0.54643852794166603</v>
      </c>
      <c r="Q37" s="29">
        <f t="shared" si="12"/>
        <v>4.0116096319854168E-2</v>
      </c>
      <c r="R37" s="28">
        <f t="shared" si="13"/>
        <v>934.02351489180535</v>
      </c>
      <c r="S37" s="28">
        <f t="shared" si="14"/>
        <v>37.46937728840841</v>
      </c>
      <c r="T37" s="28">
        <f t="shared" si="15"/>
        <v>156.95136056513078</v>
      </c>
    </row>
    <row r="38" spans="2:20" x14ac:dyDescent="0.25">
      <c r="B38" s="1"/>
      <c r="C38" s="6">
        <f t="shared" si="16"/>
        <v>-7.4149031064716757</v>
      </c>
      <c r="D38" s="6">
        <f t="shared" si="0"/>
        <v>-0.1294144729242864</v>
      </c>
      <c r="E38" s="28">
        <f t="shared" si="1"/>
        <v>1418.0418080920329</v>
      </c>
      <c r="F38" s="28">
        <f t="shared" si="17"/>
        <v>-184.54655375562547</v>
      </c>
      <c r="G38" s="28">
        <f t="shared" si="2"/>
        <v>844.44062624006676</v>
      </c>
      <c r="H38" s="28">
        <f t="shared" si="3"/>
        <v>-97.795852444179914</v>
      </c>
      <c r="I38" s="6">
        <f t="shared" si="4"/>
        <v>-1.1029050948071188</v>
      </c>
      <c r="J38" s="28">
        <f t="shared" si="5"/>
        <v>-600.53998511590646</v>
      </c>
      <c r="K38" s="28">
        <f t="shared" si="6"/>
        <v>662.3386092197245</v>
      </c>
      <c r="L38" s="28">
        <f t="shared" si="7"/>
        <v>600.53998511590646</v>
      </c>
      <c r="M38" s="28">
        <f t="shared" si="8"/>
        <v>318.6613907802755</v>
      </c>
      <c r="N38" s="28">
        <f t="shared" si="9"/>
        <v>2408.8722870369888</v>
      </c>
      <c r="O38" s="28">
        <f t="shared" si="10"/>
        <v>216.26710395337523</v>
      </c>
      <c r="P38" s="28">
        <f t="shared" si="11"/>
        <v>0.83852674368748692</v>
      </c>
      <c r="Q38" s="29">
        <f t="shared" si="12"/>
        <v>4.0846316859218718E-2</v>
      </c>
      <c r="R38" s="28">
        <f t="shared" si="13"/>
        <v>894.05855903633744</v>
      </c>
      <c r="S38" s="28">
        <f t="shared" si="14"/>
        <v>36.518999193094743</v>
      </c>
      <c r="T38" s="28">
        <f t="shared" si="15"/>
        <v>152.97042610863735</v>
      </c>
    </row>
    <row r="39" spans="2:20" x14ac:dyDescent="0.25">
      <c r="B39" s="1"/>
      <c r="C39" s="6">
        <f t="shared" si="16"/>
        <v>-2.5441579511480921</v>
      </c>
      <c r="D39" s="6">
        <f t="shared" si="0"/>
        <v>-4.4403932938327256E-2</v>
      </c>
      <c r="E39" s="28">
        <f t="shared" si="1"/>
        <v>1428.590459501992</v>
      </c>
      <c r="F39" s="28">
        <f t="shared" si="17"/>
        <v>-63.476759683266827</v>
      </c>
      <c r="G39" s="28">
        <f t="shared" si="2"/>
        <v>849.69483335167308</v>
      </c>
      <c r="H39" s="28">
        <f t="shared" si="3"/>
        <v>-25.74276938234469</v>
      </c>
      <c r="I39" s="6">
        <f t="shared" si="4"/>
        <v>-1.0214211620716129</v>
      </c>
      <c r="J39" s="28">
        <f t="shared" si="5"/>
        <v>-597.22090333612505</v>
      </c>
      <c r="K39" s="28">
        <f t="shared" si="6"/>
        <v>610.01406909904324</v>
      </c>
      <c r="L39" s="28">
        <f t="shared" si="7"/>
        <v>597.22090333612505</v>
      </c>
      <c r="M39" s="28">
        <f t="shared" si="8"/>
        <v>370.98593090095676</v>
      </c>
      <c r="N39" s="28">
        <f t="shared" si="9"/>
        <v>2327.9737573235766</v>
      </c>
      <c r="O39" s="28">
        <f t="shared" si="10"/>
        <v>297.16563366678747</v>
      </c>
      <c r="P39" s="28">
        <f t="shared" si="11"/>
        <v>1.1416540512309865</v>
      </c>
      <c r="Q39" s="29">
        <f t="shared" si="12"/>
        <v>4.1604135128077466E-2</v>
      </c>
      <c r="R39" s="28">
        <f t="shared" si="13"/>
        <v>853.69196545381021</v>
      </c>
      <c r="S39" s="28">
        <f t="shared" si="14"/>
        <v>35.517115888494359</v>
      </c>
      <c r="T39" s="28">
        <f t="shared" si="15"/>
        <v>148.77374713598826</v>
      </c>
    </row>
    <row r="40" spans="2:20" x14ac:dyDescent="0.25">
      <c r="B40" s="1"/>
      <c r="C40" s="6">
        <f t="shared" si="16"/>
        <v>2.3265872041754916</v>
      </c>
      <c r="D40" s="6">
        <f t="shared" si="0"/>
        <v>4.0606607047631894E-2</v>
      </c>
      <c r="E40" s="28">
        <f t="shared" si="1"/>
        <v>1428.821200966642</v>
      </c>
      <c r="F40" s="28">
        <f t="shared" si="17"/>
        <v>58.051491524708076</v>
      </c>
      <c r="G40" s="28">
        <f t="shared" si="2"/>
        <v>848.81216987646792</v>
      </c>
      <c r="H40" s="28">
        <f t="shared" si="3"/>
        <v>46.496239306015084</v>
      </c>
      <c r="I40" s="6">
        <f t="shared" si="4"/>
        <v>-0.94666529853626991</v>
      </c>
      <c r="J40" s="28">
        <f t="shared" si="5"/>
        <v>-590.27734673927625</v>
      </c>
      <c r="K40" s="28">
        <f t="shared" si="6"/>
        <v>558.79508067013421</v>
      </c>
      <c r="L40" s="28">
        <f t="shared" si="7"/>
        <v>590.27734673927625</v>
      </c>
      <c r="M40" s="28">
        <f t="shared" si="8"/>
        <v>422.20491932986579</v>
      </c>
      <c r="N40" s="28">
        <f t="shared" si="9"/>
        <v>2242.914110595319</v>
      </c>
      <c r="O40" s="28">
        <f t="shared" si="10"/>
        <v>382.22528039504505</v>
      </c>
      <c r="P40" s="28">
        <f t="shared" si="11"/>
        <v>1.4546966229621348</v>
      </c>
      <c r="Q40" s="29">
        <f t="shared" si="12"/>
        <v>4.2386741557405336E-2</v>
      </c>
      <c r="R40" s="28">
        <f t="shared" si="13"/>
        <v>812.82180596653632</v>
      </c>
      <c r="S40" s="28">
        <f t="shared" si="14"/>
        <v>34.45286782172704</v>
      </c>
      <c r="T40" s="28">
        <f t="shared" si="15"/>
        <v>144.31583525845045</v>
      </c>
    </row>
    <row r="41" spans="2:20" x14ac:dyDescent="0.25">
      <c r="B41" s="1"/>
      <c r="C41" s="6">
        <f t="shared" si="16"/>
        <v>7.1973323594990752</v>
      </c>
      <c r="D41" s="6">
        <f t="shared" si="0"/>
        <v>0.12561714703359103</v>
      </c>
      <c r="E41" s="28">
        <f t="shared" si="1"/>
        <v>1418.7323659694262</v>
      </c>
      <c r="F41" s="28">
        <f t="shared" si="17"/>
        <v>179.16046927487784</v>
      </c>
      <c r="G41" s="28">
        <f t="shared" si="2"/>
        <v>841.79901079910042</v>
      </c>
      <c r="H41" s="28">
        <f t="shared" si="3"/>
        <v>118.39943166103447</v>
      </c>
      <c r="I41" s="6">
        <f t="shared" si="4"/>
        <v>-0.87774826808643569</v>
      </c>
      <c r="J41" s="28">
        <f t="shared" si="5"/>
        <v>-579.73577786757414</v>
      </c>
      <c r="K41" s="28">
        <f t="shared" si="6"/>
        <v>508.86207497100582</v>
      </c>
      <c r="L41" s="28">
        <f t="shared" si="7"/>
        <v>579.73577786757414</v>
      </c>
      <c r="M41" s="28">
        <f t="shared" si="8"/>
        <v>472.13792502899418</v>
      </c>
      <c r="N41" s="28">
        <f t="shared" si="9"/>
        <v>2153.8522337217473</v>
      </c>
      <c r="O41" s="28">
        <f t="shared" si="10"/>
        <v>471.28715726861674</v>
      </c>
      <c r="P41" s="28">
        <f t="shared" si="11"/>
        <v>1.7765616629319596</v>
      </c>
      <c r="Q41" s="29">
        <f t="shared" si="12"/>
        <v>4.3191404157329902E-2</v>
      </c>
      <c r="R41" s="28">
        <f t="shared" si="13"/>
        <v>771.38458857013654</v>
      </c>
      <c r="S41" s="28">
        <f t="shared" si="14"/>
        <v>33.317183525668412</v>
      </c>
      <c r="T41" s="28">
        <f t="shared" si="15"/>
        <v>139.55869200339035</v>
      </c>
    </row>
    <row r="42" spans="2:20" x14ac:dyDescent="0.25">
      <c r="B42" s="1"/>
      <c r="C42" s="6">
        <f t="shared" si="16"/>
        <v>12.068077514822658</v>
      </c>
      <c r="D42" s="6">
        <f t="shared" si="0"/>
        <v>0.21062768701955017</v>
      </c>
      <c r="E42" s="28">
        <f t="shared" si="1"/>
        <v>1398.3968205233173</v>
      </c>
      <c r="F42" s="28">
        <f t="shared" si="17"/>
        <v>298.97547115152685</v>
      </c>
      <c r="G42" s="28">
        <f t="shared" si="2"/>
        <v>828.70600824545545</v>
      </c>
      <c r="H42" s="28">
        <f t="shared" si="3"/>
        <v>189.44749113641791</v>
      </c>
      <c r="I42" s="6">
        <f t="shared" si="4"/>
        <v>-0.8139559039053369</v>
      </c>
      <c r="J42" s="28">
        <f t="shared" si="5"/>
        <v>-565.6523834376444</v>
      </c>
      <c r="K42" s="28">
        <f t="shared" si="6"/>
        <v>460.41609705719605</v>
      </c>
      <c r="L42" s="28">
        <f t="shared" si="7"/>
        <v>565.6523834376444</v>
      </c>
      <c r="M42" s="28">
        <f t="shared" si="8"/>
        <v>520.58390294280389</v>
      </c>
      <c r="N42" s="28">
        <f t="shared" si="9"/>
        <v>2060.9554144921335</v>
      </c>
      <c r="O42" s="28">
        <f t="shared" si="10"/>
        <v>564.18397649823055</v>
      </c>
      <c r="P42" s="28">
        <f t="shared" si="11"/>
        <v>2.1061905142508666</v>
      </c>
      <c r="Q42" s="29">
        <f t="shared" si="12"/>
        <v>4.4015476285627166E-2</v>
      </c>
      <c r="R42" s="28">
        <f t="shared" si="13"/>
        <v>729.34600932483977</v>
      </c>
      <c r="S42" s="28">
        <f t="shared" si="14"/>
        <v>32.102511977454292</v>
      </c>
      <c r="T42" s="28">
        <f t="shared" si="15"/>
        <v>134.47068772019833</v>
      </c>
    </row>
    <row r="43" spans="2:20" x14ac:dyDescent="0.25">
      <c r="B43" s="1"/>
      <c r="C43" s="6">
        <f t="shared" si="16"/>
        <v>16.938822670146241</v>
      </c>
      <c r="D43" s="6">
        <f t="shared" si="0"/>
        <v>0.29563822700550929</v>
      </c>
      <c r="E43" s="28">
        <f t="shared" si="1"/>
        <v>1367.961436900355</v>
      </c>
      <c r="F43" s="28">
        <f t="shared" si="17"/>
        <v>416.63114040301372</v>
      </c>
      <c r="G43" s="28">
        <f t="shared" si="2"/>
        <v>809.6277256506753</v>
      </c>
      <c r="H43" s="28">
        <f t="shared" si="3"/>
        <v>259.12727733242372</v>
      </c>
      <c r="I43" s="6">
        <f t="shared" si="4"/>
        <v>-0.75471808920016836</v>
      </c>
      <c r="J43" s="28">
        <f t="shared" si="5"/>
        <v>-548.11172887517989</v>
      </c>
      <c r="K43" s="28">
        <f t="shared" si="6"/>
        <v>413.66983668487654</v>
      </c>
      <c r="L43" s="28">
        <f t="shared" si="7"/>
        <v>548.11172887517989</v>
      </c>
      <c r="M43" s="28">
        <f t="shared" si="8"/>
        <v>567.3301633151234</v>
      </c>
      <c r="N43" s="28">
        <f t="shared" si="9"/>
        <v>1964.3993803375367</v>
      </c>
      <c r="O43" s="28">
        <f t="shared" si="10"/>
        <v>660.74001065282732</v>
      </c>
      <c r="P43" s="28">
        <f t="shared" si="11"/>
        <v>2.4425603167019974</v>
      </c>
      <c r="Q43" s="29">
        <f t="shared" si="12"/>
        <v>4.4856400791754993E-2</v>
      </c>
      <c r="R43" s="28">
        <f t="shared" si="13"/>
        <v>686.69440154513507</v>
      </c>
      <c r="S43" s="28">
        <f t="shared" si="14"/>
        <v>30.802639297162916</v>
      </c>
      <c r="T43" s="28">
        <f t="shared" si="15"/>
        <v>129.02579376952437</v>
      </c>
    </row>
    <row r="44" spans="2:20" x14ac:dyDescent="0.25">
      <c r="B44" s="1"/>
      <c r="C44" s="6">
        <f t="shared" si="16"/>
        <v>21.809567825469824</v>
      </c>
      <c r="D44" s="6">
        <f t="shared" si="0"/>
        <v>0.38064876699146843</v>
      </c>
      <c r="E44" s="28">
        <f t="shared" si="1"/>
        <v>1327.6460328553651</v>
      </c>
      <c r="F44" s="28">
        <f t="shared" si="17"/>
        <v>531.27771592963541</v>
      </c>
      <c r="G44" s="28">
        <f t="shared" si="2"/>
        <v>784.70195478035293</v>
      </c>
      <c r="H44" s="28">
        <f t="shared" si="3"/>
        <v>326.93553212199612</v>
      </c>
      <c r="I44" s="6">
        <f t="shared" si="4"/>
        <v>-0.69958764077879121</v>
      </c>
      <c r="J44" s="28">
        <f t="shared" si="5"/>
        <v>-527.22543588047813</v>
      </c>
      <c r="K44" s="28">
        <f t="shared" si="6"/>
        <v>368.84039884619358</v>
      </c>
      <c r="L44" s="28">
        <f t="shared" si="7"/>
        <v>527.22543588047813</v>
      </c>
      <c r="M44" s="28">
        <f t="shared" si="8"/>
        <v>612.15960115380642</v>
      </c>
      <c r="N44" s="28">
        <f t="shared" si="9"/>
        <v>1864.3684512904931</v>
      </c>
      <c r="O44" s="28">
        <f t="shared" si="10"/>
        <v>760.77093969987095</v>
      </c>
      <c r="P44" s="28">
        <f t="shared" si="11"/>
        <v>2.7846843064002682</v>
      </c>
      <c r="Q44" s="29">
        <f t="shared" si="12"/>
        <v>4.5711710766000668E-2</v>
      </c>
      <c r="R44" s="28">
        <f t="shared" si="13"/>
        <v>643.43601085141268</v>
      </c>
      <c r="S44" s="28">
        <f t="shared" si="14"/>
        <v>29.412560824469043</v>
      </c>
      <c r="T44" s="28">
        <f t="shared" si="15"/>
        <v>123.20304667921985</v>
      </c>
    </row>
    <row r="45" spans="2:20" x14ac:dyDescent="0.25">
      <c r="B45" s="1"/>
      <c r="C45" s="6">
        <f t="shared" si="16"/>
        <v>26.680312980793406</v>
      </c>
      <c r="D45" s="6">
        <f t="shared" si="0"/>
        <v>0.46565930697742758</v>
      </c>
      <c r="E45" s="28">
        <f t="shared" si="1"/>
        <v>1277.741784005249</v>
      </c>
      <c r="F45" s="28">
        <f t="shared" si="17"/>
        <v>642.08716963281836</v>
      </c>
      <c r="G45" s="28">
        <f t="shared" si="2"/>
        <v>754.1087205376698</v>
      </c>
      <c r="H45" s="28">
        <f t="shared" si="3"/>
        <v>392.38251440276827</v>
      </c>
      <c r="I45" s="6">
        <f t="shared" si="4"/>
        <v>-0.64822747839671235</v>
      </c>
      <c r="J45" s="28">
        <f t="shared" si="5"/>
        <v>-503.13081142921521</v>
      </c>
      <c r="K45" s="28">
        <f t="shared" si="6"/>
        <v>326.14321719645199</v>
      </c>
      <c r="L45" s="28">
        <f t="shared" si="7"/>
        <v>503.13081142921521</v>
      </c>
      <c r="M45" s="28">
        <f t="shared" si="8"/>
        <v>654.85678280354796</v>
      </c>
      <c r="N45" s="28">
        <f t="shared" si="9"/>
        <v>1761.0558681589523</v>
      </c>
      <c r="O45" s="28">
        <f t="shared" si="10"/>
        <v>864.08352283141176</v>
      </c>
      <c r="P45" s="28">
        <f t="shared" si="11"/>
        <v>3.1316107822185812</v>
      </c>
      <c r="Q45" s="29">
        <f t="shared" si="12"/>
        <v>4.657902695554645E-2</v>
      </c>
      <c r="R45" s="28">
        <f t="shared" si="13"/>
        <v>599.59153724237353</v>
      </c>
      <c r="S45" s="28">
        <f t="shared" si="14"/>
        <v>27.92839037553005</v>
      </c>
      <c r="T45" s="28">
        <f t="shared" si="15"/>
        <v>116.98616804047077</v>
      </c>
    </row>
    <row r="46" spans="2:20" x14ac:dyDescent="0.25">
      <c r="B46" s="1"/>
      <c r="C46" s="6">
        <f t="shared" si="16"/>
        <v>31.551058136116989</v>
      </c>
      <c r="D46" s="6">
        <f t="shared" si="0"/>
        <v>0.55066984696338672</v>
      </c>
      <c r="E46" s="28">
        <f t="shared" si="1"/>
        <v>1218.609120830344</v>
      </c>
      <c r="F46" s="28">
        <f t="shared" si="17"/>
        <v>748.25918679899712</v>
      </c>
      <c r="G46" s="28">
        <f t="shared" si="2"/>
        <v>718.06898074419883</v>
      </c>
      <c r="H46" s="28">
        <f t="shared" si="3"/>
        <v>454.995537223155</v>
      </c>
      <c r="I46" s="6">
        <f t="shared" si="4"/>
        <v>-0.60040556675855838</v>
      </c>
      <c r="J46" s="28">
        <f t="shared" si="5"/>
        <v>-475.98937784045603</v>
      </c>
      <c r="K46" s="28">
        <f t="shared" si="6"/>
        <v>285.7866721733526</v>
      </c>
      <c r="L46" s="28">
        <f t="shared" si="7"/>
        <v>475.98937784045603</v>
      </c>
      <c r="M46" s="28">
        <f t="shared" si="8"/>
        <v>695.2133278266474</v>
      </c>
      <c r="N46" s="28">
        <f t="shared" si="9"/>
        <v>1654.664392127705</v>
      </c>
      <c r="O46" s="28">
        <f t="shared" si="10"/>
        <v>970.47499886265905</v>
      </c>
      <c r="P46" s="28">
        <f t="shared" si="11"/>
        <v>3.4824206548589585</v>
      </c>
      <c r="Q46" s="29">
        <f t="shared" si="12"/>
        <v>4.7456051637147396E-2</v>
      </c>
      <c r="R46" s="28">
        <f t="shared" si="13"/>
        <v>555.19357868122336</v>
      </c>
      <c r="S46" s="28">
        <f t="shared" si="14"/>
        <v>26.347295138508791</v>
      </c>
      <c r="T46" s="28">
        <f t="shared" si="15"/>
        <v>110.36329179880171</v>
      </c>
    </row>
    <row r="47" spans="2:20" x14ac:dyDescent="0.25">
      <c r="B47" s="1"/>
      <c r="C47" s="6">
        <f t="shared" si="16"/>
        <v>36.421803291440575</v>
      </c>
      <c r="D47" s="6">
        <f t="shared" si="0"/>
        <v>0.63568038694934592</v>
      </c>
      <c r="E47" s="28">
        <f t="shared" si="1"/>
        <v>1150.6751254866356</v>
      </c>
      <c r="F47" s="28">
        <f t="shared" si="17"/>
        <v>849.02694632521263</v>
      </c>
      <c r="G47" s="28">
        <f t="shared" si="2"/>
        <v>676.84303028513114</v>
      </c>
      <c r="H47" s="28">
        <f t="shared" si="3"/>
        <v>514.32238173585336</v>
      </c>
      <c r="I47" s="6">
        <f t="shared" si="4"/>
        <v>-0.55599828523103867</v>
      </c>
      <c r="J47" s="28">
        <f t="shared" si="5"/>
        <v>-445.98526313633562</v>
      </c>
      <c r="K47" s="28">
        <f t="shared" si="6"/>
        <v>247.96704154211616</v>
      </c>
      <c r="L47" s="28">
        <f t="shared" si="7"/>
        <v>445.98526313633562</v>
      </c>
      <c r="M47" s="28">
        <f t="shared" si="8"/>
        <v>733.03295845788386</v>
      </c>
      <c r="N47" s="28">
        <f t="shared" si="9"/>
        <v>1545.4073320500243</v>
      </c>
      <c r="O47" s="28">
        <f t="shared" si="10"/>
        <v>1079.7320589403398</v>
      </c>
      <c r="P47" s="28">
        <f t="shared" si="11"/>
        <v>3.8362233178625984</v>
      </c>
      <c r="Q47" s="29">
        <f t="shared" si="12"/>
        <v>4.8340558294656499E-2</v>
      </c>
      <c r="R47" s="28">
        <f t="shared" si="13"/>
        <v>510.28473289521031</v>
      </c>
      <c r="S47" s="28">
        <f t="shared" si="14"/>
        <v>24.667448877394136</v>
      </c>
      <c r="T47" s="28">
        <f t="shared" si="15"/>
        <v>103.32676823469761</v>
      </c>
    </row>
    <row r="48" spans="2:20" x14ac:dyDescent="0.25">
      <c r="B48" s="1"/>
      <c r="C48" s="6">
        <f t="shared" si="16"/>
        <v>41.292548446764158</v>
      </c>
      <c r="D48" s="6">
        <f t="shared" si="0"/>
        <v>0.72069092693530501</v>
      </c>
      <c r="E48" s="28">
        <f t="shared" si="1"/>
        <v>1074.4304472301931</v>
      </c>
      <c r="F48" s="28">
        <f t="shared" si="17"/>
        <v>943.66265903909084</v>
      </c>
      <c r="G48" s="28">
        <f t="shared" si="2"/>
        <v>630.72862114489158</v>
      </c>
      <c r="H48" s="28">
        <f t="shared" si="3"/>
        <v>569.93456332167113</v>
      </c>
      <c r="I48" s="6">
        <f t="shared" si="4"/>
        <v>-0.51500444169971926</v>
      </c>
      <c r="J48" s="28">
        <f t="shared" si="5"/>
        <v>-413.32340982954798</v>
      </c>
      <c r="K48" s="28">
        <f t="shared" si="6"/>
        <v>212.86339192069062</v>
      </c>
      <c r="L48" s="28">
        <f t="shared" si="7"/>
        <v>413.32340982954798</v>
      </c>
      <c r="M48" s="28">
        <f t="shared" si="8"/>
        <v>768.13660807930933</v>
      </c>
      <c r="N48" s="28">
        <f t="shared" si="9"/>
        <v>1433.5102615492456</v>
      </c>
      <c r="O48" s="28">
        <f t="shared" si="10"/>
        <v>1191.6291294411185</v>
      </c>
      <c r="P48" s="28">
        <f t="shared" si="11"/>
        <v>4.1921502823814389</v>
      </c>
      <c r="Q48" s="29">
        <f t="shared" si="12"/>
        <v>4.9230375705953601E-2</v>
      </c>
      <c r="R48" s="28">
        <f t="shared" si="13"/>
        <v>464.91619108513095</v>
      </c>
      <c r="S48" s="28">
        <f t="shared" si="14"/>
        <v>22.887998758901912</v>
      </c>
      <c r="T48" s="28">
        <f t="shared" si="15"/>
        <v>95.873025008451393</v>
      </c>
    </row>
    <row r="49" spans="2:20" x14ac:dyDescent="0.25">
      <c r="B49" s="1"/>
      <c r="C49" s="6">
        <f t="shared" si="16"/>
        <v>46.163293602087741</v>
      </c>
      <c r="D49" s="6">
        <f t="shared" si="0"/>
        <v>0.80570146692126421</v>
      </c>
      <c r="E49" s="28">
        <f t="shared" si="1"/>
        <v>990.42575873198791</v>
      </c>
      <c r="F49" s="28">
        <f t="shared" si="17"/>
        <v>1031.4828241130176</v>
      </c>
      <c r="G49" s="28">
        <f t="shared" si="2"/>
        <v>580.05881191107244</v>
      </c>
      <c r="H49" s="28">
        <f t="shared" si="3"/>
        <v>621.43042629429988</v>
      </c>
      <c r="I49" s="6">
        <f t="shared" si="4"/>
        <v>-0.4775746590804224</v>
      </c>
      <c r="J49" s="28">
        <f t="shared" si="5"/>
        <v>-378.22754543629685</v>
      </c>
      <c r="K49" s="28">
        <f t="shared" si="6"/>
        <v>180.63189106656444</v>
      </c>
      <c r="L49" s="28">
        <f t="shared" si="7"/>
        <v>378.22754543629685</v>
      </c>
      <c r="M49" s="28">
        <f t="shared" si="8"/>
        <v>800.36810893343556</v>
      </c>
      <c r="N49" s="28">
        <f t="shared" si="9"/>
        <v>1319.2138819505878</v>
      </c>
      <c r="O49" s="28">
        <f t="shared" si="10"/>
        <v>1305.9255090397762</v>
      </c>
      <c r="P49" s="28">
        <f t="shared" si="11"/>
        <v>4.5493454897907641</v>
      </c>
      <c r="Q49" s="29">
        <f t="shared" si="12"/>
        <v>5.0123363724476913E-2</v>
      </c>
      <c r="R49" s="28">
        <f t="shared" si="13"/>
        <v>419.14670009085029</v>
      </c>
      <c r="S49" s="28">
        <f t="shared" si="14"/>
        <v>21.009042502567929</v>
      </c>
      <c r="T49" s="28">
        <f t="shared" si="15"/>
        <v>88.002471446697498</v>
      </c>
    </row>
    <row r="50" spans="2:20" x14ac:dyDescent="0.25">
      <c r="B50" s="1"/>
      <c r="C50" s="6">
        <f t="shared" si="16"/>
        <v>51.034038757411324</v>
      </c>
      <c r="D50" s="6">
        <f t="shared" si="0"/>
        <v>0.8907120069072233</v>
      </c>
      <c r="E50" s="28">
        <f t="shared" si="1"/>
        <v>899.26777887715889</v>
      </c>
      <c r="F50" s="28">
        <f t="shared" si="17"/>
        <v>1111.8531656083646</v>
      </c>
      <c r="G50" s="28">
        <f t="shared" si="2"/>
        <v>525.19956227852072</v>
      </c>
      <c r="H50" s="28">
        <f t="shared" si="3"/>
        <v>668.43804483471035</v>
      </c>
      <c r="I50" s="6">
        <f t="shared" si="4"/>
        <v>-0.44406544408155973</v>
      </c>
      <c r="J50" s="28">
        <f t="shared" si="5"/>
        <v>-340.93781965836695</v>
      </c>
      <c r="K50" s="28">
        <f t="shared" si="6"/>
        <v>151.39870429079144</v>
      </c>
      <c r="L50" s="28">
        <f t="shared" si="7"/>
        <v>340.93781965836695</v>
      </c>
      <c r="M50" s="28">
        <f t="shared" si="8"/>
        <v>829.60129570920856</v>
      </c>
      <c r="N50" s="28">
        <f t="shared" si="9"/>
        <v>1202.7788581464579</v>
      </c>
      <c r="O50" s="28">
        <f t="shared" si="10"/>
        <v>1422.3605328439062</v>
      </c>
      <c r="P50" s="28">
        <f t="shared" si="11"/>
        <v>4.9069502254332606</v>
      </c>
      <c r="Q50" s="29">
        <f t="shared" si="12"/>
        <v>5.1017375563583149E-2</v>
      </c>
      <c r="R50" s="28">
        <f t="shared" si="13"/>
        <v>373.04177317605013</v>
      </c>
      <c r="S50" s="28">
        <f t="shared" si="14"/>
        <v>19.031612243027549</v>
      </c>
      <c r="T50" s="28">
        <f t="shared" si="15"/>
        <v>79.71943094488654</v>
      </c>
    </row>
    <row r="51" spans="2:20" x14ac:dyDescent="0.25">
      <c r="B51" s="1"/>
      <c r="C51" s="6">
        <f t="shared" si="16"/>
        <v>55.904783912734906</v>
      </c>
      <c r="D51" s="6">
        <f t="shared" si="0"/>
        <v>0.97572254689318239</v>
      </c>
      <c r="E51" s="28">
        <f t="shared" si="1"/>
        <v>801.61489077381225</v>
      </c>
      <c r="F51" s="28">
        <f t="shared" si="17"/>
        <v>1184.1932134958759</v>
      </c>
      <c r="G51" s="28">
        <f t="shared" si="2"/>
        <v>466.54708992712585</v>
      </c>
      <c r="H51" s="28">
        <f t="shared" si="3"/>
        <v>710.61790920334283</v>
      </c>
      <c r="I51" s="6">
        <f t="shared" si="4"/>
        <v>-0.41513638658355662</v>
      </c>
      <c r="J51" s="28">
        <f t="shared" si="5"/>
        <v>-301.70792683004936</v>
      </c>
      <c r="K51" s="28">
        <f t="shared" si="6"/>
        <v>125.24993854784279</v>
      </c>
      <c r="L51" s="28">
        <f t="shared" si="7"/>
        <v>301.70792683004936</v>
      </c>
      <c r="M51" s="28">
        <f t="shared" si="8"/>
        <v>855.75006145215718</v>
      </c>
      <c r="N51" s="28">
        <f t="shared" si="9"/>
        <v>1084.4942015164129</v>
      </c>
      <c r="O51" s="28">
        <f t="shared" si="10"/>
        <v>1540.6451894739512</v>
      </c>
      <c r="P51" s="28">
        <f t="shared" si="11"/>
        <v>5.2640785825396934</v>
      </c>
      <c r="Q51" s="29">
        <f t="shared" si="12"/>
        <v>5.1910196456349235E-2</v>
      </c>
      <c r="R51" s="28">
        <f t="shared" si="13"/>
        <v>326.67295605593802</v>
      </c>
      <c r="S51" s="28">
        <f t="shared" si="14"/>
        <v>16.957657325840081</v>
      </c>
      <c r="T51" s="28">
        <f t="shared" si="15"/>
        <v>71.032068902603115</v>
      </c>
    </row>
    <row r="52" spans="2:20" x14ac:dyDescent="0.25">
      <c r="B52" s="1"/>
      <c r="C52" s="6">
        <f t="shared" si="16"/>
        <v>60.775529068058489</v>
      </c>
      <c r="D52" s="6">
        <f t="shared" si="0"/>
        <v>1.0607330868791416</v>
      </c>
      <c r="E52" s="28">
        <f t="shared" si="1"/>
        <v>698.17238662003615</v>
      </c>
      <c r="F52" s="28">
        <f t="shared" si="17"/>
        <v>1247.9804960660574</v>
      </c>
      <c r="G52" s="28">
        <f t="shared" si="2"/>
        <v>404.52500886310349</v>
      </c>
      <c r="H52" s="28">
        <f t="shared" si="3"/>
        <v>747.66537782908335</v>
      </c>
      <c r="I52" s="6">
        <f t="shared" si="4"/>
        <v>-0.39192866445009217</v>
      </c>
      <c r="J52" s="28">
        <f t="shared" si="5"/>
        <v>-260.80133597092595</v>
      </c>
      <c r="K52" s="28">
        <f t="shared" si="6"/>
        <v>102.21551929388478</v>
      </c>
      <c r="L52" s="28">
        <f t="shared" si="7"/>
        <v>260.80133597092595</v>
      </c>
      <c r="M52" s="28">
        <f t="shared" si="8"/>
        <v>878.78448070611523</v>
      </c>
      <c r="N52" s="28">
        <f t="shared" si="9"/>
        <v>964.69236922276457</v>
      </c>
      <c r="O52" s="28">
        <f t="shared" si="10"/>
        <v>1660.4470217675994</v>
      </c>
      <c r="P52" s="28">
        <f t="shared" si="11"/>
        <v>5.6197752302197532</v>
      </c>
      <c r="Q52" s="29">
        <f t="shared" si="12"/>
        <v>5.2799438075549383E-2</v>
      </c>
      <c r="R52" s="28">
        <f t="shared" si="13"/>
        <v>280.11667074406392</v>
      </c>
      <c r="S52" s="28">
        <f t="shared" si="14"/>
        <v>14.790002810880258</v>
      </c>
      <c r="T52" s="28">
        <f t="shared" si="15"/>
        <v>61.952218902978409</v>
      </c>
    </row>
    <row r="53" spans="2:20" x14ac:dyDescent="0.25">
      <c r="B53" s="1"/>
      <c r="C53" s="6">
        <f t="shared" si="16"/>
        <v>65.646274223382079</v>
      </c>
      <c r="D53" s="6">
        <f t="shared" si="0"/>
        <v>1.1457436268651009</v>
      </c>
      <c r="E53" s="28">
        <f t="shared" si="1"/>
        <v>589.68737377278978</v>
      </c>
      <c r="F53" s="28">
        <f t="shared" si="17"/>
        <v>1302.7543134501418</v>
      </c>
      <c r="G53" s="28">
        <f t="shared" si="2"/>
        <v>339.58126989193676</v>
      </c>
      <c r="H53" s="28">
        <f t="shared" si="3"/>
        <v>779.3128775649609</v>
      </c>
      <c r="I53" s="6">
        <f t="shared" si="4"/>
        <v>-0.37640931895586094</v>
      </c>
      <c r="J53" s="28">
        <f t="shared" si="5"/>
        <v>-218.48577638900994</v>
      </c>
      <c r="K53" s="28">
        <f t="shared" si="6"/>
        <v>82.240082292129756</v>
      </c>
      <c r="L53" s="28">
        <f t="shared" si="7"/>
        <v>218.48577638900994</v>
      </c>
      <c r="M53" s="28">
        <f t="shared" si="8"/>
        <v>898.75991770787027</v>
      </c>
      <c r="N53" s="28">
        <f t="shared" si="9"/>
        <v>843.77790114974118</v>
      </c>
      <c r="O53" s="28">
        <f t="shared" si="10"/>
        <v>1781.3614898406229</v>
      </c>
      <c r="P53" s="28">
        <f t="shared" si="11"/>
        <v>5.9729376559745102</v>
      </c>
      <c r="Q53" s="29">
        <f t="shared" si="12"/>
        <v>5.3682344139936278E-2</v>
      </c>
      <c r="R53" s="28">
        <f t="shared" si="13"/>
        <v>233.45120607896786</v>
      </c>
      <c r="S53" s="28">
        <f t="shared" si="14"/>
        <v>12.532207984614336</v>
      </c>
      <c r="T53" s="28">
        <f t="shared" si="15"/>
        <v>52.494790050298327</v>
      </c>
    </row>
    <row r="54" spans="2:20" x14ac:dyDescent="0.25">
      <c r="B54" s="1"/>
      <c r="C54" s="6">
        <f t="shared" si="16"/>
        <v>70.517019378705669</v>
      </c>
      <c r="D54" s="6">
        <f t="shared" si="0"/>
        <v>1.23075416685106</v>
      </c>
      <c r="E54" s="28">
        <f t="shared" si="1"/>
        <v>476.9433788092872</v>
      </c>
      <c r="F54" s="28">
        <f t="shared" si="17"/>
        <v>1348.1190649975915</v>
      </c>
      <c r="G54" s="28">
        <f t="shared" si="2"/>
        <v>272.18492532022589</v>
      </c>
      <c r="H54" s="28">
        <f t="shared" si="3"/>
        <v>805.33183621934563</v>
      </c>
      <c r="I54" s="6">
        <f t="shared" si="4"/>
        <v>-0.37208567642016921</v>
      </c>
      <c r="J54" s="28">
        <f t="shared" si="5"/>
        <v>-175.02386655926051</v>
      </c>
      <c r="K54" s="28">
        <f t="shared" si="6"/>
        <v>65.123873778375881</v>
      </c>
      <c r="L54" s="28">
        <f t="shared" si="7"/>
        <v>175.02386655926051</v>
      </c>
      <c r="M54" s="28">
        <f t="shared" si="8"/>
        <v>915.87612622162408</v>
      </c>
      <c r="N54" s="28">
        <f t="shared" si="9"/>
        <v>722.28550001465601</v>
      </c>
      <c r="O54" s="28">
        <f t="shared" si="10"/>
        <v>1902.8538909757081</v>
      </c>
      <c r="P54" s="28">
        <f t="shared" si="11"/>
        <v>6.3221612346193838</v>
      </c>
      <c r="Q54" s="29">
        <f t="shared" si="12"/>
        <v>5.4555403086548458E-2</v>
      </c>
      <c r="R54" s="28">
        <f t="shared" si="13"/>
        <v>186.74708244375779</v>
      </c>
      <c r="S54" s="28">
        <f t="shared" si="14"/>
        <v>10.188062357956102</v>
      </c>
      <c r="T54" s="28">
        <f t="shared" si="15"/>
        <v>42.675655810759459</v>
      </c>
    </row>
    <row r="55" spans="2:20" x14ac:dyDescent="0.25">
      <c r="B55" s="1"/>
      <c r="C55" s="6">
        <f t="shared" si="16"/>
        <v>75.387764534029259</v>
      </c>
      <c r="D55" s="6">
        <f t="shared" si="0"/>
        <v>1.3157647068370193</v>
      </c>
      <c r="E55" s="28">
        <f t="shared" si="1"/>
        <v>360.75468855271828</v>
      </c>
      <c r="F55" s="28">
        <f t="shared" si="17"/>
        <v>1383.7471064783592</v>
      </c>
      <c r="G55" s="28">
        <f t="shared" si="2"/>
        <v>202.82274125319597</v>
      </c>
      <c r="H55" s="28">
        <f t="shared" si="3"/>
        <v>825.53433340506137</v>
      </c>
      <c r="I55" s="6">
        <f t="shared" si="4"/>
        <v>-0.38564616210303904</v>
      </c>
      <c r="J55" s="28">
        <f t="shared" si="5"/>
        <v>-130.65396841627427</v>
      </c>
      <c r="K55" s="28">
        <f t="shared" si="6"/>
        <v>50.386201483267847</v>
      </c>
      <c r="L55" s="28">
        <f t="shared" si="7"/>
        <v>130.65396841627427</v>
      </c>
      <c r="M55" s="28">
        <f t="shared" si="8"/>
        <v>930.61379851673212</v>
      </c>
      <c r="N55" s="28">
        <f t="shared" si="9"/>
        <v>601.00843146360126</v>
      </c>
      <c r="O55" s="28">
        <f t="shared" si="10"/>
        <v>2024.1309595267628</v>
      </c>
      <c r="P55" s="28">
        <f t="shared" si="11"/>
        <v>6.6654000216016556</v>
      </c>
      <c r="Q55" s="29">
        <f t="shared" si="12"/>
        <v>5.5413500054004139E-2</v>
      </c>
      <c r="R55" s="28">
        <f t="shared" si="13"/>
        <v>140.03295598834316</v>
      </c>
      <c r="S55" s="28">
        <f t="shared" si="14"/>
        <v>7.7597162142224132</v>
      </c>
      <c r="T55" s="28">
        <f t="shared" si="15"/>
        <v>32.503823270056976</v>
      </c>
    </row>
    <row r="56" spans="2:20" x14ac:dyDescent="0.25">
      <c r="B56" s="1"/>
      <c r="C56" s="6">
        <f t="shared" si="16"/>
        <v>80.258509689352849</v>
      </c>
      <c r="D56" s="6">
        <f t="shared" si="0"/>
        <v>1.4007752468229786</v>
      </c>
      <c r="E56" s="28">
        <f t="shared" si="1"/>
        <v>241.96046893391855</v>
      </c>
      <c r="F56" s="28">
        <f t="shared" si="17"/>
        <v>1409.3811164739218</v>
      </c>
      <c r="G56" s="28">
        <f t="shared" si="2"/>
        <v>131.99568195534525</v>
      </c>
      <c r="H56" s="28">
        <f t="shared" si="3"/>
        <v>839.77445778324511</v>
      </c>
      <c r="I56" s="6">
        <f t="shared" si="4"/>
        <v>-0.43130301672880916</v>
      </c>
      <c r="J56" s="28">
        <f t="shared" si="5"/>
        <v>-85.541648902311493</v>
      </c>
      <c r="K56" s="28">
        <f t="shared" si="6"/>
        <v>36.894371227523571</v>
      </c>
      <c r="L56" s="28">
        <f t="shared" si="7"/>
        <v>85.541648902311493</v>
      </c>
      <c r="M56" s="28">
        <f t="shared" si="8"/>
        <v>944.10562877247639</v>
      </c>
      <c r="N56" s="28">
        <f t="shared" si="9"/>
        <v>481.31550448434314</v>
      </c>
      <c r="O56" s="28">
        <f t="shared" si="10"/>
        <v>2143.8238865060212</v>
      </c>
      <c r="P56" s="28">
        <f t="shared" si="11"/>
        <v>6.9991333516010856</v>
      </c>
      <c r="Q56" s="29">
        <f t="shared" si="12"/>
        <v>5.6247833379002715E-2</v>
      </c>
      <c r="R56" s="28">
        <f t="shared" si="13"/>
        <v>93.158833854877372</v>
      </c>
      <c r="S56" s="28">
        <f t="shared" si="14"/>
        <v>5.2399825644513394</v>
      </c>
      <c r="T56" s="28">
        <f t="shared" si="15"/>
        <v>21.94918763922524</v>
      </c>
    </row>
    <row r="57" spans="2:20" x14ac:dyDescent="0.25">
      <c r="B57" s="1"/>
      <c r="C57" s="6">
        <f t="shared" si="16"/>
        <v>85.129254844676439</v>
      </c>
      <c r="D57" s="6">
        <f t="shared" si="0"/>
        <v>1.4857857868089379</v>
      </c>
      <c r="E57" s="28">
        <f t="shared" si="1"/>
        <v>121.41870416515667</v>
      </c>
      <c r="F57" s="28">
        <f t="shared" si="17"/>
        <v>1424.8359548659819</v>
      </c>
      <c r="G57" s="28">
        <f t="shared" si="2"/>
        <v>60.215291665728238</v>
      </c>
      <c r="H57" s="28">
        <f t="shared" si="3"/>
        <v>847.9493608993472</v>
      </c>
      <c r="I57" s="6">
        <f t="shared" si="4"/>
        <v>-0.54497153670314236</v>
      </c>
      <c r="J57" s="28">
        <f t="shared" si="5"/>
        <v>-39.618360556839633</v>
      </c>
      <c r="K57" s="28">
        <f t="shared" si="6"/>
        <v>21.590878834320058</v>
      </c>
      <c r="L57" s="28">
        <f t="shared" si="7"/>
        <v>39.618360556839633</v>
      </c>
      <c r="M57" s="28">
        <f t="shared" si="8"/>
        <v>959.40912116567995</v>
      </c>
      <c r="N57" s="28">
        <f t="shared" si="9"/>
        <v>366.04975904229309</v>
      </c>
      <c r="O57" s="28">
        <f t="shared" si="10"/>
        <v>2259.0896319480707</v>
      </c>
      <c r="P57" s="28">
        <f t="shared" si="11"/>
        <v>7.3160079226643946</v>
      </c>
      <c r="Q57" s="29">
        <f t="shared" si="12"/>
        <v>5.7040019806660985E-2</v>
      </c>
      <c r="R57" s="28">
        <f t="shared" si="13"/>
        <v>45.119624799526385</v>
      </c>
      <c r="S57" s="28">
        <f t="shared" si="14"/>
        <v>2.5736242922340971</v>
      </c>
      <c r="T57" s="28">
        <f t="shared" si="15"/>
        <v>10.780372226110492</v>
      </c>
    </row>
    <row r="58" spans="2:20" x14ac:dyDescent="0.25">
      <c r="B58" s="1"/>
      <c r="C58" s="30">
        <v>90</v>
      </c>
      <c r="D58" s="15">
        <f t="shared" si="0"/>
        <v>1.5707963267948966</v>
      </c>
      <c r="E58" s="19">
        <f t="shared" si="1"/>
        <v>8.7598114525966331E-14</v>
      </c>
      <c r="F58" s="19">
        <f t="shared" si="17"/>
        <v>1430</v>
      </c>
      <c r="G58" s="19">
        <f t="shared" si="2"/>
        <v>-11.999999999999948</v>
      </c>
      <c r="H58" s="19">
        <f t="shared" si="3"/>
        <v>850</v>
      </c>
      <c r="I58" s="15">
        <f t="shared" si="4"/>
        <v>-0.84999999999999964</v>
      </c>
      <c r="J58" s="19">
        <f t="shared" si="5"/>
        <v>8.2321678321677965</v>
      </c>
      <c r="K58" s="19">
        <f t="shared" si="6"/>
        <v>-6.9973426573426245</v>
      </c>
      <c r="L58" s="19">
        <f t="shared" si="7"/>
        <v>-8.2321678321677965</v>
      </c>
      <c r="M58" s="19">
        <f t="shared" si="8"/>
        <v>987.99734265734264</v>
      </c>
      <c r="N58" s="19">
        <f t="shared" si="9"/>
        <v>262.48809496813379</v>
      </c>
      <c r="O58" s="19">
        <f t="shared" si="10"/>
        <v>2362.6512960222303</v>
      </c>
      <c r="P58" s="19">
        <f t="shared" si="11"/>
        <v>7.5970783371909985</v>
      </c>
      <c r="Q58" s="31">
        <f t="shared" si="12"/>
        <v>5.7742695842977497E-2</v>
      </c>
      <c r="R58" s="19">
        <f t="shared" si="13"/>
        <v>10.804230258618379</v>
      </c>
      <c r="S58" s="19">
        <f t="shared" si="14"/>
        <v>0.62386538164089511</v>
      </c>
      <c r="T58" s="19">
        <f t="shared" si="15"/>
        <v>2.6132411997227045</v>
      </c>
    </row>
    <row r="59" spans="2:20" x14ac:dyDescent="0.25">
      <c r="B59" s="1"/>
      <c r="C59" s="1"/>
      <c r="D59" s="1"/>
      <c r="E59" s="1"/>
      <c r="F59" s="1"/>
      <c r="G59" s="1"/>
      <c r="H59" s="1"/>
      <c r="I59" s="1"/>
      <c r="J59" s="1"/>
      <c r="K59" s="1"/>
    </row>
    <row r="60" spans="2:20" x14ac:dyDescent="0.25">
      <c r="B60" s="1"/>
      <c r="C60" s="1"/>
      <c r="D60" s="1"/>
      <c r="E60" s="1"/>
      <c r="F60" s="1"/>
      <c r="G60" s="1"/>
      <c r="H60" s="1"/>
      <c r="I60" s="1"/>
      <c r="J60" s="1"/>
      <c r="K60" s="1"/>
    </row>
    <row r="61" spans="2:20" x14ac:dyDescent="0.25">
      <c r="B61" s="1"/>
      <c r="C61" s="1"/>
      <c r="D61" s="1"/>
      <c r="E61" s="1"/>
      <c r="F61" s="1"/>
      <c r="G61" s="1"/>
      <c r="H61" s="1"/>
      <c r="I61" s="1"/>
      <c r="J61" s="1"/>
      <c r="K61" s="1"/>
    </row>
    <row r="62" spans="2:20" x14ac:dyDescent="0.25">
      <c r="B62" s="1"/>
      <c r="C62" s="1"/>
      <c r="D62" s="1"/>
      <c r="E62" s="1"/>
      <c r="F62" s="1"/>
      <c r="G62" s="1"/>
      <c r="H62" s="1"/>
      <c r="I62" s="1"/>
      <c r="J62" s="1"/>
      <c r="K62" s="1"/>
    </row>
    <row r="63" spans="2:20" x14ac:dyDescent="0.25">
      <c r="B63" s="1"/>
      <c r="C63" s="1"/>
      <c r="D63" s="1"/>
      <c r="E63" s="1"/>
      <c r="F63" s="1"/>
      <c r="G63" s="1"/>
      <c r="H63" s="1"/>
      <c r="I63" s="1"/>
      <c r="J63" s="1"/>
      <c r="K63" s="1"/>
    </row>
    <row r="64" spans="2:20" x14ac:dyDescent="0.25">
      <c r="B64" s="1"/>
      <c r="C64" s="1"/>
      <c r="D64" s="1"/>
      <c r="E64" s="1"/>
      <c r="F64" s="1"/>
      <c r="G64" s="1"/>
      <c r="H64" s="1"/>
      <c r="I64" s="1"/>
      <c r="J64" s="1"/>
      <c r="K64" s="1"/>
    </row>
    <row r="65" spans="2:11" x14ac:dyDescent="0.25">
      <c r="B65" s="1"/>
      <c r="C65" s="1"/>
      <c r="D65" s="1"/>
      <c r="E65" s="1"/>
      <c r="F65" s="1"/>
      <c r="G65" s="1"/>
      <c r="H65" s="1"/>
      <c r="I65" s="1"/>
      <c r="J65" s="1"/>
      <c r="K65" s="1"/>
    </row>
    <row r="66" spans="2:11" x14ac:dyDescent="0.25">
      <c r="B66" s="1"/>
      <c r="C66" s="1"/>
      <c r="D66" s="1"/>
      <c r="E66" s="1"/>
      <c r="F66" s="1"/>
      <c r="G66" s="1"/>
      <c r="H66" s="1"/>
      <c r="I66" s="1"/>
      <c r="J66" s="1"/>
      <c r="K66" s="1"/>
    </row>
    <row r="67" spans="2:11" x14ac:dyDescent="0.25">
      <c r="B67" s="1"/>
      <c r="C67" s="1"/>
      <c r="D67" s="1"/>
      <c r="E67" s="1"/>
      <c r="F67" s="1"/>
      <c r="G67" s="1"/>
      <c r="H67" s="1"/>
      <c r="I67" s="1"/>
      <c r="J67" s="1"/>
      <c r="K67" s="1"/>
    </row>
    <row r="68" spans="2:11" x14ac:dyDescent="0.25">
      <c r="B68" s="1"/>
      <c r="C68" s="1"/>
      <c r="D68" s="1"/>
      <c r="E68" s="1"/>
      <c r="F68" s="1"/>
      <c r="G68" s="1"/>
      <c r="H68" s="1"/>
      <c r="I68" s="1"/>
      <c r="J68" s="1"/>
      <c r="K68" s="1"/>
    </row>
    <row r="69" spans="2:11" x14ac:dyDescent="0.25">
      <c r="C69" s="1"/>
    </row>
  </sheetData>
  <mergeCells count="5">
    <mergeCell ref="C4:E4"/>
    <mergeCell ref="G4:H4"/>
    <mergeCell ref="F20:J29"/>
    <mergeCell ref="K8:K10"/>
    <mergeCell ref="T4:X4"/>
  </mergeCells>
  <conditionalFormatting sqref="J35:J58">
    <cfRule type="cellIs" dxfId="0" priority="1" operator="greaterThan">
      <formula>0</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90" zoomScaleNormal="90" workbookViewId="0">
      <selection activeCell="L11" sqref="L11"/>
    </sheetView>
  </sheetViews>
  <sheetFormatPr baseColWidth="10"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42</vt:i4>
      </vt:variant>
    </vt:vector>
  </HeadingPairs>
  <TitlesOfParts>
    <vt:vector size="44" baseType="lpstr">
      <vt:lpstr>Calculs</vt:lpstr>
      <vt:lpstr>Calculs manuels</vt:lpstr>
      <vt:lpstr>C_</vt:lpstr>
      <vt:lpstr>CA</vt:lpstr>
      <vt:lpstr>CAmax</vt:lpstr>
      <vt:lpstr>Dm</vt:lpstr>
      <vt:lpstr>Dt</vt:lpstr>
      <vt:lpstr>e</vt:lpstr>
      <vt:lpstr>F</vt:lpstr>
      <vt:lpstr>k</vt:lpstr>
      <vt:lpstr>Le</vt:lpstr>
      <vt:lpstr>Lm</vt:lpstr>
      <vt:lpstr>M</vt:lpstr>
      <vt:lpstr>n</vt:lpstr>
      <vt:lpstr>Nt</vt:lpstr>
      <vt:lpstr>P</vt:lpstr>
      <vt:lpstr>Pu</vt:lpstr>
      <vt:lpstr>Re</vt:lpstr>
      <vt:lpstr>t</vt:lpstr>
      <vt:lpstr>Ta</vt:lpstr>
      <vt:lpstr>Tb</vt:lpstr>
      <vt:lpstr>Tg</vt:lpstr>
      <vt:lpstr>Va</vt:lpstr>
      <vt:lpstr>Vb</vt:lpstr>
      <vt:lpstr>Vg</vt:lpstr>
      <vt:lpstr>Xa</vt:lpstr>
      <vt:lpstr>Xao</vt:lpstr>
      <vt:lpstr>Xc</vt:lpstr>
      <vt:lpstr>Xf</vt:lpstr>
      <vt:lpstr>Xg</vt:lpstr>
      <vt:lpstr>Xro</vt:lpstr>
      <vt:lpstr>Xs</vt:lpstr>
      <vt:lpstr>Ya</vt:lpstr>
      <vt:lpstr>Yao</vt:lpstr>
      <vt:lpstr>Yc</vt:lpstr>
      <vt:lpstr>Yf</vt:lpstr>
      <vt:lpstr>Yg</vt:lpstr>
      <vt:lpstr>Yro</vt:lpstr>
      <vt:lpstr>Ys</vt:lpstr>
      <vt:lpstr>θ</vt:lpstr>
      <vt:lpstr>θdeg</vt:lpstr>
      <vt:lpstr>θmin</vt:lpstr>
      <vt:lpstr>θminDeg</vt:lpstr>
      <vt:lpstr>ω</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rené2</dc:creator>
  <cp:lastModifiedBy>rené2</cp:lastModifiedBy>
  <dcterms:created xsi:type="dcterms:W3CDTF">2015-09-26T05:06:49Z</dcterms:created>
  <dcterms:modified xsi:type="dcterms:W3CDTF">2015-09-28T16:47:13Z</dcterms:modified>
</cp:coreProperties>
</file>